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C:\Users\madman962\Sync\_Listings\Gail Armstrong - Various TX\"/>
    </mc:Choice>
  </mc:AlternateContent>
  <xr:revisionPtr revIDLastSave="0" documentId="13_ncr:1_{D2C77D30-0D26-406F-8888-7F6F950D4BEF}" xr6:coauthVersionLast="47" xr6:coauthVersionMax="47" xr10:uidLastSave="{00000000-0000-0000-0000-000000000000}"/>
  <bookViews>
    <workbookView xWindow="41940" yWindow="1545" windowWidth="33360" windowHeight="17235" tabRatio="945" xr2:uid="{00000000-000D-0000-FFFF-FFFF00000000}"/>
  </bookViews>
  <sheets>
    <sheet name="Ownership Breakdown" sheetId="22" r:id="rId1"/>
    <sheet name="Revenue Reconciliation" sheetId="21"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22" l="1"/>
  <c r="K28" i="21"/>
  <c r="L29" i="21"/>
  <c r="G28" i="21"/>
  <c r="H28" i="21" s="1"/>
  <c r="H29" i="21" s="1"/>
  <c r="J32" i="21"/>
  <c r="M32" i="21" s="1"/>
  <c r="M33" i="21" s="1"/>
  <c r="L33" i="21"/>
  <c r="G32" i="21"/>
  <c r="G27" i="22"/>
  <c r="J27" i="22" s="1"/>
  <c r="K29" i="21" l="1"/>
  <c r="N29" i="21"/>
  <c r="G29" i="21"/>
  <c r="M29" i="21"/>
  <c r="G33" i="21"/>
  <c r="H32" i="21"/>
  <c r="H33" i="21" s="1"/>
  <c r="K32" i="21"/>
  <c r="E26" i="22"/>
  <c r="G26" i="22" s="1"/>
  <c r="J26" i="22" s="1"/>
  <c r="J35" i="22" s="1"/>
  <c r="N32" i="21" l="1"/>
  <c r="N33" i="21" s="1"/>
  <c r="K33" i="21"/>
  <c r="G25" i="22"/>
  <c r="J25" i="22" s="1"/>
  <c r="G24" i="22"/>
  <c r="G28" i="22" l="1"/>
  <c r="J36" i="22" s="1"/>
  <c r="G23" i="22"/>
  <c r="J23" i="22" s="1"/>
  <c r="G22" i="22"/>
  <c r="J22" i="22" s="1"/>
  <c r="G21" i="22"/>
  <c r="J21" i="22" s="1"/>
  <c r="G20" i="22"/>
  <c r="J20" i="22" s="1"/>
  <c r="G19" i="22"/>
  <c r="J19" i="22" s="1"/>
  <c r="G18" i="22"/>
  <c r="J18" i="22" s="1"/>
  <c r="G17" i="22" l="1"/>
  <c r="J17" i="22" s="1"/>
  <c r="J34" i="22" s="1"/>
  <c r="G16" i="22"/>
  <c r="J16" i="22" s="1"/>
  <c r="G15" i="22"/>
  <c r="J15" i="22" s="1"/>
  <c r="G14" i="22"/>
  <c r="J14" i="22" s="1"/>
  <c r="G13" i="22"/>
  <c r="J13" i="22" s="1"/>
  <c r="G12" i="22"/>
  <c r="J12" i="22" s="1"/>
  <c r="G11" i="22"/>
  <c r="J11" i="22" s="1"/>
  <c r="G10" i="22"/>
  <c r="J10" i="22" s="1"/>
  <c r="G9" i="22"/>
  <c r="J9" i="22" s="1"/>
  <c r="G8" i="22"/>
  <c r="J8" i="22" s="1"/>
  <c r="E7" i="22"/>
  <c r="G7" i="22" s="1"/>
  <c r="J7" i="22" s="1"/>
  <c r="E6" i="22"/>
  <c r="G6" i="22" s="1"/>
  <c r="J6" i="22" s="1"/>
  <c r="M128" i="21"/>
  <c r="J124" i="21"/>
  <c r="L125" i="21"/>
  <c r="F124" i="21"/>
  <c r="G124" i="21" s="1"/>
  <c r="G125" i="21" s="1"/>
  <c r="J120" i="21"/>
  <c r="L121" i="21"/>
  <c r="F120" i="21"/>
  <c r="G120" i="21" s="1"/>
  <c r="H120" i="21" s="1"/>
  <c r="H121" i="21" s="1"/>
  <c r="J112" i="21"/>
  <c r="M112" i="21" s="1"/>
  <c r="M113" i="21" s="1"/>
  <c r="J116" i="21"/>
  <c r="L117" i="21"/>
  <c r="F116" i="21"/>
  <c r="G116" i="21" s="1"/>
  <c r="H116" i="21" s="1"/>
  <c r="H117" i="21" s="1"/>
  <c r="L113" i="21"/>
  <c r="F112" i="21"/>
  <c r="G112" i="21" s="1"/>
  <c r="H112" i="21" s="1"/>
  <c r="H113" i="21" s="1"/>
  <c r="J108" i="21"/>
  <c r="M108" i="21" s="1"/>
  <c r="M20" i="21"/>
  <c r="G20" i="21"/>
  <c r="K20" i="21" s="1"/>
  <c r="J56" i="21"/>
  <c r="L57" i="21"/>
  <c r="M56" i="21"/>
  <c r="M57" i="21" s="1"/>
  <c r="F56" i="21"/>
  <c r="G56" i="21" s="1"/>
  <c r="H56" i="21" s="1"/>
  <c r="H57" i="21" s="1"/>
  <c r="J52" i="21"/>
  <c r="L53" i="21"/>
  <c r="F52" i="21"/>
  <c r="G52" i="21" s="1"/>
  <c r="J48" i="21"/>
  <c r="M48" i="21" s="1"/>
  <c r="M49" i="21" s="1"/>
  <c r="L49" i="21"/>
  <c r="F48" i="21"/>
  <c r="G48" i="21" s="1"/>
  <c r="H48" i="21" s="1"/>
  <c r="H49" i="21" s="1"/>
  <c r="J40" i="21"/>
  <c r="M40" i="21" s="1"/>
  <c r="M41" i="21" s="1"/>
  <c r="L41" i="21"/>
  <c r="F40" i="21"/>
  <c r="G40" i="21" s="1"/>
  <c r="H40" i="21" s="1"/>
  <c r="H41" i="21" s="1"/>
  <c r="J44" i="21"/>
  <c r="M44" i="21" s="1"/>
  <c r="M45" i="21" s="1"/>
  <c r="L45" i="21"/>
  <c r="F44" i="21"/>
  <c r="G44" i="21" s="1"/>
  <c r="J36" i="21"/>
  <c r="M36" i="21" s="1"/>
  <c r="L61" i="21"/>
  <c r="M60" i="21"/>
  <c r="M61" i="21" s="1"/>
  <c r="F60" i="21"/>
  <c r="G60" i="21" s="1"/>
  <c r="J29" i="22" l="1"/>
  <c r="J37" i="22" s="1"/>
  <c r="J33" i="22"/>
  <c r="K120" i="21"/>
  <c r="K121" i="21" s="1"/>
  <c r="K124" i="21"/>
  <c r="N124" i="21" s="1"/>
  <c r="N125" i="21" s="1"/>
  <c r="K125" i="21"/>
  <c r="H124" i="21"/>
  <c r="H125" i="21" s="1"/>
  <c r="M124" i="21"/>
  <c r="M125" i="21" s="1"/>
  <c r="N120" i="21"/>
  <c r="N121" i="21" s="1"/>
  <c r="G121" i="21"/>
  <c r="K116" i="21"/>
  <c r="K117" i="21" s="1"/>
  <c r="M120" i="21"/>
  <c r="M121" i="21" s="1"/>
  <c r="N116" i="21"/>
  <c r="N117" i="21" s="1"/>
  <c r="M116" i="21"/>
  <c r="M117" i="21" s="1"/>
  <c r="G117" i="21"/>
  <c r="G113" i="21"/>
  <c r="K112" i="21"/>
  <c r="K52" i="21"/>
  <c r="K53" i="21" s="1"/>
  <c r="G57" i="21"/>
  <c r="H20" i="21"/>
  <c r="M52" i="21"/>
  <c r="M53" i="21" s="1"/>
  <c r="K56" i="21"/>
  <c r="G53" i="21"/>
  <c r="H52" i="21"/>
  <c r="H53" i="21" s="1"/>
  <c r="K48" i="21"/>
  <c r="G49" i="21"/>
  <c r="H44" i="21"/>
  <c r="H45" i="21" s="1"/>
  <c r="G45" i="21"/>
  <c r="G41" i="21"/>
  <c r="K40" i="21"/>
  <c r="K44" i="21"/>
  <c r="N44" i="21" s="1"/>
  <c r="N45" i="21" s="1"/>
  <c r="G61" i="21"/>
  <c r="H60" i="21"/>
  <c r="H61" i="21" s="1"/>
  <c r="K60" i="21"/>
  <c r="L149" i="21"/>
  <c r="M148" i="21"/>
  <c r="M149" i="21" s="1"/>
  <c r="F148" i="21"/>
  <c r="G148" i="21" s="1"/>
  <c r="L145" i="21"/>
  <c r="M144" i="21"/>
  <c r="M145" i="21" s="1"/>
  <c r="F144" i="21"/>
  <c r="G144" i="21" s="1"/>
  <c r="L141" i="21"/>
  <c r="M140" i="21"/>
  <c r="M141" i="21" s="1"/>
  <c r="F140" i="21"/>
  <c r="G140" i="21" s="1"/>
  <c r="L137" i="21"/>
  <c r="M136" i="21"/>
  <c r="M137" i="21" s="1"/>
  <c r="F136" i="21"/>
  <c r="G136" i="21" s="1"/>
  <c r="L133" i="21"/>
  <c r="M132" i="21"/>
  <c r="M133" i="21" s="1"/>
  <c r="F132" i="21"/>
  <c r="G132" i="21" s="1"/>
  <c r="L129" i="21"/>
  <c r="M129" i="21"/>
  <c r="F128" i="21"/>
  <c r="G128" i="21" s="1"/>
  <c r="K128" i="21" s="1"/>
  <c r="L109" i="21"/>
  <c r="M109" i="21"/>
  <c r="F108" i="21"/>
  <c r="G108" i="21" s="1"/>
  <c r="L105" i="21"/>
  <c r="M104" i="21"/>
  <c r="M105" i="21" s="1"/>
  <c r="F104" i="21"/>
  <c r="G104" i="21" s="1"/>
  <c r="L101" i="21"/>
  <c r="M100" i="21"/>
  <c r="M101" i="21" s="1"/>
  <c r="F100" i="21"/>
  <c r="G100" i="21" s="1"/>
  <c r="L97" i="21"/>
  <c r="M96" i="21"/>
  <c r="M97" i="21" s="1"/>
  <c r="F96" i="21"/>
  <c r="G96" i="21" s="1"/>
  <c r="K96" i="21" s="1"/>
  <c r="L93" i="21"/>
  <c r="M92" i="21"/>
  <c r="M93" i="21" s="1"/>
  <c r="F92" i="21"/>
  <c r="G92" i="21" s="1"/>
  <c r="L89" i="21"/>
  <c r="M88" i="21"/>
  <c r="M89" i="21" s="1"/>
  <c r="F88" i="21"/>
  <c r="G88" i="21" s="1"/>
  <c r="L85" i="21"/>
  <c r="M84" i="21"/>
  <c r="M85" i="21" s="1"/>
  <c r="F84" i="21"/>
  <c r="G84" i="21" s="1"/>
  <c r="F80" i="21"/>
  <c r="G80" i="21" s="1"/>
  <c r="L81" i="21"/>
  <c r="M80" i="21"/>
  <c r="M81" i="21" s="1"/>
  <c r="L77" i="21"/>
  <c r="I76" i="21"/>
  <c r="F76" i="21"/>
  <c r="G76" i="21" s="1"/>
  <c r="L71" i="21"/>
  <c r="I70" i="21"/>
  <c r="F70" i="21"/>
  <c r="G70" i="21" s="1"/>
  <c r="M74" i="21"/>
  <c r="M77" i="21" s="1"/>
  <c r="F74" i="21"/>
  <c r="G74" i="21" s="1"/>
  <c r="M68" i="21"/>
  <c r="M71" i="21" s="1"/>
  <c r="F68" i="21"/>
  <c r="G68" i="21" s="1"/>
  <c r="F64" i="21"/>
  <c r="N52" i="21" l="1"/>
  <c r="N53" i="21" s="1"/>
  <c r="K108" i="21"/>
  <c r="N112" i="21"/>
  <c r="N113" i="21" s="1"/>
  <c r="K113" i="21"/>
  <c r="K57" i="21"/>
  <c r="N56" i="21"/>
  <c r="N57" i="21" s="1"/>
  <c r="K45" i="21"/>
  <c r="K49" i="21"/>
  <c r="N48" i="21"/>
  <c r="N49" i="21" s="1"/>
  <c r="K41" i="21"/>
  <c r="N40" i="21"/>
  <c r="N41" i="21" s="1"/>
  <c r="G71" i="21"/>
  <c r="N60" i="21"/>
  <c r="N61" i="21" s="1"/>
  <c r="K61" i="21"/>
  <c r="K148" i="21"/>
  <c r="G149" i="21"/>
  <c r="H148" i="21"/>
  <c r="H149" i="21" s="1"/>
  <c r="G145" i="21"/>
  <c r="K144" i="21"/>
  <c r="H144" i="21"/>
  <c r="H145" i="21" s="1"/>
  <c r="G141" i="21"/>
  <c r="K140" i="21"/>
  <c r="H140" i="21"/>
  <c r="H141" i="21" s="1"/>
  <c r="G137" i="21"/>
  <c r="H136" i="21"/>
  <c r="H137" i="21" s="1"/>
  <c r="K136" i="21"/>
  <c r="H132" i="21"/>
  <c r="H133" i="21" s="1"/>
  <c r="K132" i="21"/>
  <c r="G133" i="21"/>
  <c r="G129" i="21"/>
  <c r="K129" i="21"/>
  <c r="N128" i="21"/>
  <c r="N129" i="21" s="1"/>
  <c r="H128" i="21"/>
  <c r="H129" i="21" s="1"/>
  <c r="H108" i="21"/>
  <c r="H109" i="21" s="1"/>
  <c r="G109" i="21"/>
  <c r="G105" i="21"/>
  <c r="K104" i="21"/>
  <c r="H104" i="21"/>
  <c r="H105" i="21" s="1"/>
  <c r="G101" i="21"/>
  <c r="K100" i="21"/>
  <c r="H100" i="21"/>
  <c r="H101" i="21" s="1"/>
  <c r="G97" i="21"/>
  <c r="H96" i="21"/>
  <c r="H97" i="21" s="1"/>
  <c r="G93" i="21"/>
  <c r="K92" i="21"/>
  <c r="H92" i="21"/>
  <c r="H93" i="21" s="1"/>
  <c r="G89" i="21"/>
  <c r="H88" i="21"/>
  <c r="H89" i="21" s="1"/>
  <c r="K88" i="21"/>
  <c r="K84" i="21"/>
  <c r="H84" i="21"/>
  <c r="H85" i="21" s="1"/>
  <c r="G85" i="21"/>
  <c r="G81" i="21"/>
  <c r="K80" i="21"/>
  <c r="H80" i="21"/>
  <c r="H81" i="21" s="1"/>
  <c r="K76" i="21"/>
  <c r="G77" i="21"/>
  <c r="H76" i="21"/>
  <c r="K70" i="21"/>
  <c r="H70" i="21"/>
  <c r="K74" i="21"/>
  <c r="H74" i="21"/>
  <c r="K68" i="21"/>
  <c r="H68" i="21"/>
  <c r="L65" i="21"/>
  <c r="M64" i="21"/>
  <c r="M65" i="21" s="1"/>
  <c r="G64" i="21"/>
  <c r="K77" i="21" l="1"/>
  <c r="N74" i="21" s="1"/>
  <c r="N77" i="21" s="1"/>
  <c r="H77" i="21"/>
  <c r="H71" i="21"/>
  <c r="K71" i="21"/>
  <c r="N68" i="21" s="1"/>
  <c r="N71" i="21" s="1"/>
  <c r="N148" i="21"/>
  <c r="N149" i="21" s="1"/>
  <c r="K149" i="21"/>
  <c r="K145" i="21"/>
  <c r="N144" i="21"/>
  <c r="N145" i="21" s="1"/>
  <c r="N140" i="21"/>
  <c r="N141" i="21" s="1"/>
  <c r="K141" i="21"/>
  <c r="K137" i="21"/>
  <c r="N136" i="21"/>
  <c r="N137" i="21" s="1"/>
  <c r="K133" i="21"/>
  <c r="N132" i="21"/>
  <c r="N133" i="21" s="1"/>
  <c r="N108" i="21"/>
  <c r="N109" i="21" s="1"/>
  <c r="K109" i="21"/>
  <c r="K105" i="21"/>
  <c r="N104" i="21"/>
  <c r="N105" i="21" s="1"/>
  <c r="K101" i="21"/>
  <c r="N100" i="21"/>
  <c r="N101" i="21" s="1"/>
  <c r="K97" i="21"/>
  <c r="N96" i="21"/>
  <c r="N97" i="21" s="1"/>
  <c r="K93" i="21"/>
  <c r="N92" i="21"/>
  <c r="N93" i="21" s="1"/>
  <c r="K89" i="21"/>
  <c r="N88" i="21"/>
  <c r="N89" i="21" s="1"/>
  <c r="N84" i="21"/>
  <c r="N85" i="21" s="1"/>
  <c r="K85" i="21"/>
  <c r="K81" i="21"/>
  <c r="N80" i="21"/>
  <c r="N81" i="21" s="1"/>
  <c r="K64" i="21"/>
  <c r="H64" i="21"/>
  <c r="H65" i="21" s="1"/>
  <c r="G65" i="21"/>
  <c r="L37" i="21"/>
  <c r="M37" i="21"/>
  <c r="F36" i="21"/>
  <c r="F24" i="21"/>
  <c r="G24" i="21" s="1"/>
  <c r="G25" i="21" s="1"/>
  <c r="L25" i="21"/>
  <c r="M24" i="21"/>
  <c r="M25" i="21" s="1"/>
  <c r="G36" i="21" l="1"/>
  <c r="G37" i="21" s="1"/>
  <c r="K36" i="21"/>
  <c r="N64" i="21"/>
  <c r="N65" i="21" s="1"/>
  <c r="K65" i="21"/>
  <c r="H24" i="21"/>
  <c r="H25" i="21" s="1"/>
  <c r="K24" i="21"/>
  <c r="L21" i="21"/>
  <c r="M21" i="21"/>
  <c r="L17" i="21"/>
  <c r="M16" i="21"/>
  <c r="M17" i="21" s="1"/>
  <c r="G16" i="21"/>
  <c r="K16" i="21" s="1"/>
  <c r="H36" i="21" l="1"/>
  <c r="H37" i="21" s="1"/>
  <c r="K37" i="21"/>
  <c r="N36" i="21"/>
  <c r="N37" i="21" s="1"/>
  <c r="K25" i="21"/>
  <c r="N24" i="21"/>
  <c r="N25" i="21" s="1"/>
  <c r="K21" i="21"/>
  <c r="H21" i="21"/>
  <c r="G21" i="21"/>
  <c r="H16" i="21"/>
  <c r="H17" i="21" s="1"/>
  <c r="G17" i="21"/>
  <c r="F12" i="21"/>
  <c r="N20" i="21" l="1"/>
  <c r="N21" i="21" s="1"/>
  <c r="N16" i="21"/>
  <c r="N17" i="21" s="1"/>
  <c r="K17" i="21"/>
  <c r="I8" i="21"/>
  <c r="G12" i="21"/>
  <c r="M12" i="21"/>
  <c r="M8" i="21"/>
  <c r="M13" i="21" l="1"/>
  <c r="M9" i="21"/>
  <c r="L13" i="21"/>
  <c r="L9" i="21"/>
  <c r="K12" i="21"/>
  <c r="G13" i="21"/>
  <c r="H12" i="21"/>
  <c r="G8" i="21"/>
  <c r="H13" i="21" l="1"/>
  <c r="K13" i="21"/>
  <c r="N12" i="21"/>
  <c r="G9" i="21"/>
  <c r="N13" i="21" l="1"/>
  <c r="H8" i="21" l="1"/>
  <c r="H9" i="21" s="1"/>
  <c r="K8" i="21"/>
  <c r="K9" i="21" s="1"/>
  <c r="N8" i="21" l="1"/>
  <c r="N9" i="21" l="1"/>
</calcChain>
</file>

<file path=xl/sharedStrings.xml><?xml version="1.0" encoding="utf-8"?>
<sst xmlns="http://schemas.openxmlformats.org/spreadsheetml/2006/main" count="913" uniqueCount="194">
  <si>
    <t>Unit</t>
  </si>
  <si>
    <t>Unit Size</t>
  </si>
  <si>
    <t>Interest</t>
  </si>
  <si>
    <t>NMA</t>
  </si>
  <si>
    <t>RI</t>
  </si>
  <si>
    <t>NRI</t>
  </si>
  <si>
    <t>Notes</t>
  </si>
  <si>
    <t>Mineral Owner</t>
  </si>
  <si>
    <t>NRA</t>
  </si>
  <si>
    <t>Gross</t>
  </si>
  <si>
    <t>Check Stub</t>
  </si>
  <si>
    <t>Delta</t>
  </si>
  <si>
    <t>Check Stub NRA</t>
  </si>
  <si>
    <t>Unit Tract 5</t>
  </si>
  <si>
    <t>Water Tracts 6 &amp; 7, Sec. 184, Blk. 34, H&amp;TC RR CO. Svy., Ward Co., TX</t>
  </si>
  <si>
    <t>Gail B. Armstrong</t>
  </si>
  <si>
    <t>Brooke</t>
  </si>
  <si>
    <t>Unit Tract 3</t>
  </si>
  <si>
    <t>W4SW2 Sec. 45, Block 33, H&amp;TC RR Co. Sy., Ward Co., TX</t>
  </si>
  <si>
    <t>Price</t>
  </si>
  <si>
    <t>NPRI</t>
  </si>
  <si>
    <t>Unit Tract 48</t>
  </si>
  <si>
    <t>Pt. Sec. 68, Blk. 4, H&amp;GN RR CO. Sy., Reeves Co., TX</t>
  </si>
  <si>
    <t>Shadrach</t>
  </si>
  <si>
    <t>Shadrach Moses</t>
  </si>
  <si>
    <t>Unclear which Unit Tract the 2.48 acre parcel covers; only a memorandum of record-royalty is assumed</t>
  </si>
  <si>
    <t>Unit Tract 2</t>
  </si>
  <si>
    <t>N2SE Sec. 13, Blk. C-21, PSLS, Reeves Co., TX</t>
  </si>
  <si>
    <t>Harpoon</t>
  </si>
  <si>
    <t>E. 100 acres of N. 200 acres, Blk. C-18, PSLS, Reeves Co., TX</t>
  </si>
  <si>
    <t>Buffalo Trace</t>
  </si>
  <si>
    <t>Comp NRI taken from Mineral Appraisal-no production reported since September of 2024</t>
  </si>
  <si>
    <t>Black Dog 4231A</t>
  </si>
  <si>
    <t>Unit Tracts 1-3</t>
  </si>
  <si>
    <t>Black Dog</t>
  </si>
  <si>
    <t>Brook K-2</t>
  </si>
  <si>
    <t>Unit Tracts 1-2</t>
  </si>
  <si>
    <t>Unit Tract 4</t>
  </si>
  <si>
    <t>CC</t>
  </si>
  <si>
    <t>Unit Tracts 1, 2, 3</t>
  </si>
  <si>
    <t>CC 4045 East</t>
  </si>
  <si>
    <t>CC 4045 West</t>
  </si>
  <si>
    <t>CC 4045 West ALLOC</t>
  </si>
  <si>
    <t>Connell Estate</t>
  </si>
  <si>
    <t>Unit Tracts 5-6</t>
  </si>
  <si>
    <t>Kashmir</t>
  </si>
  <si>
    <t>Kashmir East</t>
  </si>
  <si>
    <t>Miller 36</t>
  </si>
  <si>
    <t>Miller 37 West</t>
  </si>
  <si>
    <t>Miller 3748</t>
  </si>
  <si>
    <t>Mt. Moran</t>
  </si>
  <si>
    <t>Shadrach 68 Unit (Reeves County, TX)</t>
  </si>
  <si>
    <t>Shadrach Moses Cantaloupe Unit (Reeves County, TX)</t>
  </si>
  <si>
    <t>Brooke 184-185 Unit (Ward County, TX)</t>
  </si>
  <si>
    <t>Price 46 Unit (Ward County, TX)</t>
  </si>
  <si>
    <t>Buffalo Trace State 22-21 Unit (Reeves County, TX)</t>
  </si>
  <si>
    <t>Harpoon (Reeves County, TX)</t>
  </si>
  <si>
    <t>Big House A Unit (Reeves County, TX)</t>
  </si>
  <si>
    <t>Pt. of Sec. 57, Block 4, H&amp;GN RR Co. Svy., Reeves Co., TX</t>
  </si>
  <si>
    <t>Big House A</t>
  </si>
  <si>
    <t>Allocation Factor</t>
  </si>
  <si>
    <t>n/a</t>
  </si>
  <si>
    <t>Big House C Unit (Reeves County, TX)</t>
  </si>
  <si>
    <t>Big House C</t>
  </si>
  <si>
    <t>Big House B Unit (Reeves County, TX)</t>
  </si>
  <si>
    <t>Big House B</t>
  </si>
  <si>
    <t>Big House D Unit (Reeves County, TX)</t>
  </si>
  <si>
    <t>Big House D</t>
  </si>
  <si>
    <t>Big House E Unit (Reeves County, TX)</t>
  </si>
  <si>
    <t>Big House E</t>
  </si>
  <si>
    <t>Big House F Unit (Reeves County, TX)</t>
  </si>
  <si>
    <t>Big House F</t>
  </si>
  <si>
    <t>JRS Farms A</t>
  </si>
  <si>
    <t>JRS Farms B</t>
  </si>
  <si>
    <t>JRS Farms C</t>
  </si>
  <si>
    <t>JRS Farms D</t>
  </si>
  <si>
    <t>JRS Farms E</t>
  </si>
  <si>
    <t>Gross appears to be proration acreage within unit</t>
  </si>
  <si>
    <t>A-412, Section 31, Block 38, Tsp. 5-S, T&amp;P Ry. Co. Svy, Upton Co., TX
A-1183, Section 42, Block 38, Tsp. 5-S, T&amp;P Ry. Co. Svy, Upton Co., TX</t>
  </si>
  <si>
    <t>A-1243, Section 40, Block 39, Tsp. 5-S, T&amp;P Ry. Co. Svy, Upton Co., TX</t>
  </si>
  <si>
    <t>A-1184, Section 48, Block 39, Tsp. 5-S, T&amp;P Ry. Co. Svy, Upton Co., TX</t>
  </si>
  <si>
    <t>A-1183, Section 42, Block 38, Tsp. 5-S, T&amp;P Ry. Co. Svy, Upton Co., TX</t>
  </si>
  <si>
    <t>A-435, Section 25, Block 39, Tsp. 5-S, T&amp;P Ry. Co. Svy, Upton Co., TX</t>
  </si>
  <si>
    <t>A-441, Section 37, Block 39, Tsp. 5-S, T&amp;P Ry. Co. Svy, Upton Co., TX
A-1184, Section 48, Block 39, Tsp. 5-S, T&amp;P Ry. Co. Svy, Upton Co., TX</t>
  </si>
  <si>
    <t>A-1185, Section 36, Block 39, Tsp. 5-S, T&amp;P Ry. Co. Svy, Upton Co., TX</t>
  </si>
  <si>
    <t>A-441, Section 37, Block 39, Tsp. 5-S, T&amp;P Ry. Co. Svy, Upton Co., TX</t>
  </si>
  <si>
    <t>A-439,  Section 33, Block 39, Tsp. 5-S, T&amp;P Ry. Co. Svy, Upton Co., TX
A-1243, Section 40, Block 39, Tsp. 5-S, T&amp;P Ry. Co. Svy, Upton Co., TX</t>
  </si>
  <si>
    <t>Mt. Moran (Upton County, TX)</t>
  </si>
  <si>
    <t>Miller 3748 Unit (Upton County, TX)</t>
  </si>
  <si>
    <t>Miller 37 West Unit (Upton County, TX)</t>
  </si>
  <si>
    <t>Miller 36 Unit (Upton County, TX)</t>
  </si>
  <si>
    <t>Kashmir East Unit (Upton County, TX)</t>
  </si>
  <si>
    <t>Kashmir Unit (Upton County, TX)</t>
  </si>
  <si>
    <t>JRS Farms E (Upton County, TX)</t>
  </si>
  <si>
    <t>JRS Farms D (Upton County, TX)</t>
  </si>
  <si>
    <t>JRS Farms C (Upton County, TX)</t>
  </si>
  <si>
    <t>JRS Farms B (Upton County, TX)</t>
  </si>
  <si>
    <t>JRS Farms A (Upton County, TX)</t>
  </si>
  <si>
    <t>Cowden Units (Upton County, TX)</t>
  </si>
  <si>
    <t>Connell Estate Unit (Upton County, TX)</t>
  </si>
  <si>
    <t>CC 4045 West ALLOC Unit (Upton County, TX)</t>
  </si>
  <si>
    <t>CC 4045 West Unit (Upton County, TX)</t>
  </si>
  <si>
    <t>CC 4045 East Unit (Upton County, TX)</t>
  </si>
  <si>
    <t>Brook K-2 (C) (Upton County, TX)</t>
  </si>
  <si>
    <t>Brook K-2 (D, E) (Upton County, TX)</t>
  </si>
  <si>
    <t>CC Unit (Upton County, TX) (Upton County, TX)</t>
  </si>
  <si>
    <t>Certificate 231, Survey 2, Block N, D&amp;SE Ry Co. , Upton Co., TX</t>
  </si>
  <si>
    <t>The interest calculations below reflect current revenue attributable to each well or unit and do not represent unique acreage ownership, as multiple wells may cover the same lands. These calculations are provided solely for reconciliation purposes and shall not be construed as a mineral ownership report.</t>
  </si>
  <si>
    <t>Legal Description</t>
  </si>
  <si>
    <t>Decimal Interest</t>
  </si>
  <si>
    <t>Interest Type</t>
  </si>
  <si>
    <t>Net Mineral Acres</t>
  </si>
  <si>
    <t>Net Royalty Acres</t>
  </si>
  <si>
    <t>County</t>
  </si>
  <si>
    <t>State</t>
  </si>
  <si>
    <t>Gross Acres</t>
  </si>
  <si>
    <t>A-412, Section 31, Block 38, Tsp. 5-S, T&amp;P Ry. Co. Svy</t>
  </si>
  <si>
    <t>Upton</t>
  </si>
  <si>
    <t>TX</t>
  </si>
  <si>
    <t>Leasehold Status</t>
  </si>
  <si>
    <t>HBP</t>
  </si>
  <si>
    <t>Royalty</t>
  </si>
  <si>
    <t>Executive Mineral</t>
  </si>
  <si>
    <t>A-1183, Section 42, Block 38, Tsp. 5-S, T&amp;P Ry. Co. Svy</t>
  </si>
  <si>
    <t>A-435, Section 25, Block 39, Tsp. 5-S, T&amp;P Ry. Co. Svy</t>
  </si>
  <si>
    <t>A-439,  Section 33, Block 39, Tsp. 5-S, T&amp;P Ry. Co. Svy</t>
  </si>
  <si>
    <t>A-1185, Section 36, Block 39, Tsp. 5-S, T&amp;P Ry. Co. Svy</t>
  </si>
  <si>
    <t>A-441, Section 37, Block 39, Tsp. 5-S, T&amp;P Ry. Co. Svy</t>
  </si>
  <si>
    <t>A-1243, Section 40, Block 39, Tsp. 5-S, T&amp;P Ry. Co. Svy</t>
  </si>
  <si>
    <t>A-1184, Section 48, Block 39, Tsp. 5-S, T&amp;P Ry. Co. Svy</t>
  </si>
  <si>
    <t>A-1320, Section 36, Block 40, Tsp. 5-S, T&amp;P Ry. Co. Svy</t>
  </si>
  <si>
    <t>A-470, Section 37, Block 40, Tsp. 5-S, T&amp;P Ry. Co. Svy</t>
  </si>
  <si>
    <t>Certificate 231, Survey 2, Block N, D&amp;SE Ry Co.</t>
  </si>
  <si>
    <t>N2SE, Sec. 13, Blk. C-21, Public School Lands</t>
  </si>
  <si>
    <t>Reeves</t>
  </si>
  <si>
    <t>A-1320, Section 36, Block 40, Tsp. 5-S, T&amp;P Ry. Co. Svy, Upton Co., TX
A-470, Section 37, Block 40, Tsp. 5-S, T&amp;P Ry. Co. Svy, Upton Co., TX</t>
  </si>
  <si>
    <t>NW 185.47 acres, o/o Sec. 57, Blk. 4, H&amp;GN RR Co. Svy.</t>
  </si>
  <si>
    <t>E 100 acres of the N. 200 acres of Sec. 21, Blk. C-18, Public School Land Svy.</t>
  </si>
  <si>
    <t>Sec. 68, Blk. 4, H&amp;GN RR Co. Svy., being o/o the A.J. Heard Subd. Of 12.41 acres in Plat 3/9</t>
  </si>
  <si>
    <t>Sec. 68, Blk. 4, H&amp;GN RR Co. Svy., o/o 80 acres patented to J.B, Heard, know as the middle part of Section 68</t>
  </si>
  <si>
    <t>S2 Sec. 21, Blk. C-17, Public School Land Svy.</t>
  </si>
  <si>
    <t>S2W2W2W2, Sec. 7, Blk. 3, H&amp;GN Ry. Co, Svy.</t>
  </si>
  <si>
    <t>East 120 acres of North 3/8 of Sec. 2, Block A-53, PSL Survey</t>
  </si>
  <si>
    <t>Andrews</t>
  </si>
  <si>
    <t>Non-Participating Royalty Interest</t>
  </si>
  <si>
    <t>Open</t>
  </si>
  <si>
    <t>Section 17 &amp; 18, Blk. 56, Public School Land Svy.</t>
  </si>
  <si>
    <t>West Quarter of the SouthWest Half (W/4 SW/2) of Section 46, Block 33, H&amp;TC RR. Co. Survey</t>
  </si>
  <si>
    <t>Ward</t>
  </si>
  <si>
    <t>Water Tracts 6 and 7 out of Section 184, Block 34, H&amp;TC RR Co Sy.</t>
  </si>
  <si>
    <t>The totals below are provided for informational purposes only. Please refer to the enclosed Mineral Ownership Reports for chain of title comments and additional information regarding the Executive Mineral Interests and Non-Participating Royalty Interests located in Upton, Reeves, Andrews, and Ward Counties, Texas.</t>
  </si>
  <si>
    <t>Operator</t>
  </si>
  <si>
    <t>Bond Unit</t>
  </si>
  <si>
    <t>Anadarko</t>
  </si>
  <si>
    <t>Permian Resources</t>
  </si>
  <si>
    <t>Big House</t>
  </si>
  <si>
    <t>Shadrack 68</t>
  </si>
  <si>
    <t>Vital Energy</t>
  </si>
  <si>
    <t>Toyah (Inactive)</t>
  </si>
  <si>
    <t>Buffalo Trace 22-21</t>
  </si>
  <si>
    <t>Coterra</t>
  </si>
  <si>
    <t>Non-leased</t>
  </si>
  <si>
    <t>Notes / Questions</t>
  </si>
  <si>
    <t xml:space="preserve">Price 46 </t>
  </si>
  <si>
    <t>Brook 184-185</t>
  </si>
  <si>
    <t>Apache</t>
  </si>
  <si>
    <t>CC 33</t>
  </si>
  <si>
    <t>CC 36</t>
  </si>
  <si>
    <t>CC 37</t>
  </si>
  <si>
    <t>CC 4045</t>
  </si>
  <si>
    <t>Rig on Location!</t>
  </si>
  <si>
    <t>JRS Farms</t>
  </si>
  <si>
    <t>Exxon/Pioneer</t>
  </si>
  <si>
    <t>Completed Wells!</t>
  </si>
  <si>
    <t>Toyah B 22-21 Unit (Reeves County, TX)</t>
  </si>
  <si>
    <t>Unit Tract 1</t>
  </si>
  <si>
    <t>S2 of Sec. 21, Block C-17, PSLS, Reeves Co., Tx.</t>
  </si>
  <si>
    <t>Toyah B 22-21</t>
  </si>
  <si>
    <t>Comp NRI taken from Mineral Appraisal-no production reported since August of 2023</t>
  </si>
  <si>
    <t>McAfee C17-21 Unit (Reeves County, TX)</t>
  </si>
  <si>
    <t>McAfee C17-21</t>
  </si>
  <si>
    <t>unk</t>
  </si>
  <si>
    <t>This well is shown as Shut-In/Temporarily Abandoned, No production or appraisal data found</t>
  </si>
  <si>
    <t>Possible estate curative to convey from heirs/successors of Joe Armstrong. (partial ownership)</t>
  </si>
  <si>
    <t>Possible open acreage in SW/4</t>
  </si>
  <si>
    <t>Total Net Royalty Acres</t>
  </si>
  <si>
    <t>Upton County</t>
  </si>
  <si>
    <t>Reeves County</t>
  </si>
  <si>
    <t>Ward County</t>
  </si>
  <si>
    <t>Andrews County</t>
  </si>
  <si>
    <t>The 1/32 NPRI is converted to an equivalent royalty-acre basis by expressing it as the number of acres that would yield the same revenue at a 12.5% royalty. That equivalent acreage equals tract acres × (1/32 ÷ 1/8) = tract acres × 1/4.</t>
  </si>
  <si>
    <t>This unleased MI has been converted to an equivalent royalty-acre bases by assuming any negotiated lease would have a landowner's royalty of 25%.</t>
  </si>
  <si>
    <t>This unleased NEMI has been converted to an equivalent royalty-acre bases by assuming any negotiated lease would have a landowner's royalty of 25%.</t>
  </si>
  <si>
    <t>The 1/64 NPRI is converted to an equivalent royalty-acre basis by expressing it as the number of acres that would yield the same revenue at a 12.5% royalty. That equivalent acreage equals tract acres × (1/64 ÷ 1/8) = tract acres ×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</si>
</sst>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0000"/>
    <numFmt numFmtId="166" formatCode="0.0000%"/>
    <numFmt numFmtId="167" formatCode="0.0000000000"/>
    <numFmt numFmtId="168" formatCode="0.000000"/>
    <numFmt numFmtId="169" formatCode="0.00000000"/>
    <numFmt numFmtId="170" formatCode="0.0"/>
  </numFmts>
  <fonts count="21" x14ac:knownFonts="1">
    <font>
      <sz val="10"/>
      <name val="MS Sans Serif"/>
    </font>
    <font>
      <sz val="11"/>
      <color theme="1"/>
      <name val="Calibri"/>
      <family val="2"/>
      <scheme val="minor"/>
    </font>
    <font>
      <sz val="12"/>
      <color theme="1"/>
      <name val="Calibri"/>
      <family val="2"/>
      <scheme val="minor"/>
    </font>
    <font>
      <sz val="11"/>
      <color indexed="8"/>
      <name val="Calibri"/>
      <family val="2"/>
    </font>
    <font>
      <sz val="10"/>
      <name val="MS Sans Serif"/>
    </font>
    <font>
      <sz val="10"/>
      <name val="Arial"/>
      <family val="2"/>
    </font>
    <font>
      <sz val="11"/>
      <color indexed="8"/>
      <name val="Calibri"/>
      <family val="2"/>
    </font>
    <font>
      <sz val="10"/>
      <name val="MS Sans Serif"/>
    </font>
    <font>
      <sz val="10"/>
      <name val="Arial"/>
      <family val="2"/>
    </font>
    <font>
      <sz val="11"/>
      <color theme="1"/>
      <name val="Calibri"/>
      <family val="2"/>
      <scheme val="minor"/>
    </font>
    <font>
      <u/>
      <sz val="10"/>
      <color theme="10"/>
      <name val="MS Sans Serif"/>
    </font>
    <font>
      <u/>
      <sz val="10"/>
      <color theme="11"/>
      <name val="MS Sans Serif"/>
    </font>
    <font>
      <sz val="8"/>
      <name val="MS Sans Serif"/>
    </font>
    <font>
      <b/>
      <sz val="12"/>
      <name val="Times New Roman"/>
      <family val="1"/>
    </font>
    <font>
      <sz val="12"/>
      <name val="Times New Roman"/>
      <family val="1"/>
    </font>
    <font>
      <b/>
      <sz val="16"/>
      <name val="Times New Roman"/>
      <family val="1"/>
    </font>
    <font>
      <sz val="11"/>
      <color theme="1"/>
      <name val="Times New Roman"/>
      <family val="1"/>
    </font>
    <font>
      <b/>
      <sz val="11"/>
      <color theme="1"/>
      <name val="Times New Roman"/>
      <family val="1"/>
    </font>
    <font>
      <sz val="11"/>
      <color rgb="FF000000"/>
      <name val="Times New Roman"/>
      <family val="1"/>
    </font>
    <font>
      <i/>
      <sz val="11"/>
      <color theme="1"/>
      <name val="Times New Roman"/>
      <family val="1"/>
    </font>
    <font>
      <sz val="11"/>
      <color rgb="FFFF0000"/>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0"/>
        <bgColor indexed="64"/>
      </patternFill>
    </fill>
    <fill>
      <patternFill patternType="solid">
        <fgColor rgb="FFFFFFFF"/>
        <bgColor rgb="FF000000"/>
      </patternFill>
    </fill>
    <fill>
      <patternFill patternType="solid">
        <fgColor theme="9" tint="0.39997558519241921"/>
        <bgColor indexed="64"/>
      </patternFill>
    </fill>
    <fill>
      <patternFill patternType="solid">
        <fgColor theme="3"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top/>
      <bottom style="thin">
        <color auto="1"/>
      </bottom>
      <diagonal/>
    </border>
  </borders>
  <cellStyleXfs count="39">
    <xf numFmtId="0" fontId="0" fillId="0" borderId="0" applyProtection="0">
      <alignment vertical="top" wrapText="1"/>
    </xf>
    <xf numFmtId="0" fontId="9" fillId="0" borderId="0"/>
    <xf numFmtId="0" fontId="5" fillId="0" borderId="0"/>
    <xf numFmtId="0" fontId="5" fillId="0" borderId="0"/>
    <xf numFmtId="0" fontId="8" fillId="0" borderId="0"/>
    <xf numFmtId="0" fontId="6" fillId="0" borderId="0"/>
    <xf numFmtId="0" fontId="3" fillId="0" borderId="0"/>
    <xf numFmtId="0" fontId="8" fillId="0" borderId="0"/>
    <xf numFmtId="0" fontId="6" fillId="0" borderId="0"/>
    <xf numFmtId="0" fontId="3" fillId="0" borderId="0"/>
    <xf numFmtId="0" fontId="5" fillId="0" borderId="0"/>
    <xf numFmtId="0" fontId="8" fillId="0" borderId="0"/>
    <xf numFmtId="0" fontId="4" fillId="0" borderId="0" applyProtection="0">
      <alignment vertical="top" wrapText="1"/>
    </xf>
    <xf numFmtId="0" fontId="7" fillId="0" borderId="0" applyProtection="0">
      <alignment vertical="top" wrapText="1"/>
    </xf>
    <xf numFmtId="0" fontId="9" fillId="0" borderId="0"/>
    <xf numFmtId="0" fontId="10" fillId="0" borderId="0" applyNumberFormat="0" applyFill="0" applyBorder="0" applyAlignment="0" applyProtection="0">
      <alignment vertical="top" wrapText="1"/>
    </xf>
    <xf numFmtId="0" fontId="11" fillId="0" borderId="0" applyNumberFormat="0" applyFill="0" applyBorder="0" applyAlignment="0" applyProtection="0">
      <alignment vertical="top" wrapText="1"/>
    </xf>
    <xf numFmtId="0" fontId="10" fillId="0" borderId="0" applyNumberFormat="0" applyFill="0" applyBorder="0" applyAlignment="0" applyProtection="0">
      <alignment vertical="top" wrapText="1"/>
    </xf>
    <xf numFmtId="0" fontId="11" fillId="0" borderId="0" applyNumberFormat="0" applyFill="0" applyBorder="0" applyAlignment="0" applyProtection="0">
      <alignment vertical="top" wrapText="1"/>
    </xf>
    <xf numFmtId="0" fontId="10" fillId="0" borderId="0" applyNumberFormat="0" applyFill="0" applyBorder="0" applyAlignment="0" applyProtection="0">
      <alignment vertical="top" wrapText="1"/>
    </xf>
    <xf numFmtId="0" fontId="11" fillId="0" borderId="0" applyNumberFormat="0" applyFill="0" applyBorder="0" applyAlignment="0" applyProtection="0">
      <alignment vertical="top" wrapText="1"/>
    </xf>
    <xf numFmtId="0" fontId="10" fillId="0" borderId="0" applyNumberFormat="0" applyFill="0" applyBorder="0" applyAlignment="0" applyProtection="0">
      <alignment vertical="top" wrapText="1"/>
    </xf>
    <xf numFmtId="0" fontId="11" fillId="0" borderId="0" applyNumberFormat="0" applyFill="0" applyBorder="0" applyAlignment="0" applyProtection="0">
      <alignment vertical="top" wrapText="1"/>
    </xf>
    <xf numFmtId="0" fontId="10" fillId="0" borderId="0" applyNumberFormat="0" applyFill="0" applyBorder="0" applyAlignment="0" applyProtection="0">
      <alignment vertical="top" wrapText="1"/>
    </xf>
    <xf numFmtId="0" fontId="11" fillId="0" borderId="0" applyNumberFormat="0" applyFill="0" applyBorder="0" applyAlignment="0" applyProtection="0">
      <alignment vertical="top" wrapText="1"/>
    </xf>
    <xf numFmtId="0" fontId="10" fillId="0" borderId="0" applyNumberFormat="0" applyFill="0" applyBorder="0" applyAlignment="0" applyProtection="0">
      <alignment vertical="top" wrapText="1"/>
    </xf>
    <xf numFmtId="0" fontId="11" fillId="0" borderId="0" applyNumberFormat="0" applyFill="0" applyBorder="0" applyAlignment="0" applyProtection="0">
      <alignment vertical="top" wrapText="1"/>
    </xf>
    <xf numFmtId="0" fontId="10" fillId="0" borderId="0" applyNumberFormat="0" applyFill="0" applyBorder="0" applyAlignment="0" applyProtection="0">
      <alignment vertical="top" wrapText="1"/>
    </xf>
    <xf numFmtId="0" fontId="11" fillId="0" borderId="0" applyNumberFormat="0" applyFill="0" applyBorder="0" applyAlignment="0" applyProtection="0">
      <alignment vertical="top" wrapText="1"/>
    </xf>
    <xf numFmtId="0" fontId="10" fillId="0" borderId="0" applyNumberFormat="0" applyFill="0" applyBorder="0" applyAlignment="0" applyProtection="0">
      <alignment vertical="top" wrapText="1"/>
    </xf>
    <xf numFmtId="0" fontId="11" fillId="0" borderId="0" applyNumberFormat="0" applyFill="0" applyBorder="0" applyAlignment="0" applyProtection="0">
      <alignment vertical="top" wrapText="1"/>
    </xf>
    <xf numFmtId="0" fontId="4" fillId="0" borderId="0" applyProtection="0">
      <alignment vertical="top" wrapText="1"/>
    </xf>
    <xf numFmtId="0" fontId="2" fillId="0" borderId="0"/>
    <xf numFmtId="0" fontId="1" fillId="0" borderId="0"/>
    <xf numFmtId="0" fontId="5" fillId="0" borderId="0"/>
    <xf numFmtId="0" fontId="5" fillId="0" borderId="0"/>
    <xf numFmtId="0" fontId="5" fillId="0" borderId="0"/>
    <xf numFmtId="0" fontId="4" fillId="0" borderId="0" applyProtection="0">
      <alignment vertical="top" wrapText="1"/>
    </xf>
    <xf numFmtId="0" fontId="1" fillId="0" borderId="0"/>
  </cellStyleXfs>
  <cellXfs count="54">
    <xf numFmtId="0" fontId="0" fillId="0" borderId="0" xfId="0">
      <alignment vertical="top" wrapText="1"/>
    </xf>
    <xf numFmtId="0" fontId="13" fillId="9" borderId="0" xfId="0" applyFont="1" applyFill="1">
      <alignment vertical="top" wrapText="1"/>
    </xf>
    <xf numFmtId="0" fontId="13" fillId="9" borderId="0" xfId="0" applyFont="1" applyFill="1" applyAlignment="1">
      <alignment horizontal="left" vertical="top" wrapText="1"/>
    </xf>
    <xf numFmtId="0" fontId="14" fillId="0" borderId="0" xfId="0" applyFont="1">
      <alignment vertical="top" wrapText="1"/>
    </xf>
    <xf numFmtId="0" fontId="14" fillId="0" borderId="0" xfId="0" applyFont="1" applyAlignment="1">
      <alignment horizontal="left" vertical="top" wrapText="1"/>
    </xf>
    <xf numFmtId="169" fontId="13" fillId="9" borderId="0" xfId="0" applyNumberFormat="1" applyFont="1" applyFill="1" applyAlignment="1">
      <alignment horizontal="left" vertical="top" wrapText="1"/>
    </xf>
    <xf numFmtId="169" fontId="14" fillId="0" borderId="0" xfId="0" applyNumberFormat="1" applyFont="1" applyAlignment="1">
      <alignment horizontal="left" vertical="top" wrapText="1"/>
    </xf>
    <xf numFmtId="10" fontId="13" fillId="9" borderId="0" xfId="0" applyNumberFormat="1" applyFont="1" applyFill="1" applyAlignment="1">
      <alignment horizontal="left" vertical="top" wrapText="1"/>
    </xf>
    <xf numFmtId="10" fontId="14" fillId="0" borderId="0" xfId="0" applyNumberFormat="1" applyFont="1" applyAlignment="1">
      <alignment horizontal="left" vertical="top" wrapText="1"/>
    </xf>
    <xf numFmtId="0" fontId="13" fillId="9" borderId="0" xfId="0" applyFont="1" applyFill="1" applyAlignment="1">
      <alignment vertical="top"/>
    </xf>
    <xf numFmtId="0" fontId="14" fillId="0" borderId="0" xfId="0" applyFont="1" applyAlignment="1">
      <alignment vertical="top"/>
    </xf>
    <xf numFmtId="0" fontId="16" fillId="0" borderId="0" xfId="1" applyFont="1" applyAlignment="1">
      <alignment horizontal="left" vertical="top"/>
    </xf>
    <xf numFmtId="169" fontId="16" fillId="0" borderId="0" xfId="1" applyNumberFormat="1" applyFont="1" applyAlignment="1">
      <alignment horizontal="left" vertical="top"/>
    </xf>
    <xf numFmtId="165" fontId="16" fillId="0" borderId="0" xfId="1" applyNumberFormat="1" applyFont="1" applyAlignment="1">
      <alignment horizontal="left" vertical="top"/>
    </xf>
    <xf numFmtId="168" fontId="16" fillId="0" borderId="0" xfId="1" applyNumberFormat="1" applyFont="1" applyAlignment="1">
      <alignment horizontal="left" vertical="top"/>
    </xf>
    <xf numFmtId="0" fontId="16" fillId="4" borderId="0" xfId="1" applyFont="1" applyFill="1" applyAlignment="1">
      <alignment horizontal="left" vertical="top"/>
    </xf>
    <xf numFmtId="0" fontId="17" fillId="2" borderId="1" xfId="1" applyFont="1" applyFill="1" applyBorder="1" applyAlignment="1">
      <alignment horizontal="left" vertical="top"/>
    </xf>
    <xf numFmtId="166" fontId="17" fillId="2" borderId="1" xfId="1" applyNumberFormat="1" applyFont="1" applyFill="1" applyBorder="1" applyAlignment="1">
      <alignment horizontal="left" vertical="top"/>
    </xf>
    <xf numFmtId="169" fontId="17" fillId="2" borderId="1" xfId="1" applyNumberFormat="1" applyFont="1" applyFill="1" applyBorder="1" applyAlignment="1">
      <alignment horizontal="left" vertical="top"/>
    </xf>
    <xf numFmtId="165" fontId="17" fillId="2" borderId="1" xfId="1" applyNumberFormat="1" applyFont="1" applyFill="1" applyBorder="1" applyAlignment="1">
      <alignment horizontal="left" vertical="top"/>
    </xf>
    <xf numFmtId="168" fontId="17" fillId="2" borderId="1" xfId="1" applyNumberFormat="1" applyFont="1" applyFill="1" applyBorder="1" applyAlignment="1">
      <alignment horizontal="left" vertical="top"/>
    </xf>
    <xf numFmtId="168" fontId="17" fillId="3" borderId="1" xfId="1" applyNumberFormat="1" applyFont="1" applyFill="1" applyBorder="1" applyAlignment="1">
      <alignment horizontal="left" vertical="top"/>
    </xf>
    <xf numFmtId="167" fontId="17" fillId="0" borderId="2" xfId="1" applyNumberFormat="1" applyFont="1" applyBorder="1" applyAlignment="1">
      <alignment horizontal="left" vertical="top"/>
    </xf>
    <xf numFmtId="0" fontId="18" fillId="0" borderId="1" xfId="1" applyFont="1" applyBorder="1" applyAlignment="1">
      <alignment horizontal="left" vertical="top"/>
    </xf>
    <xf numFmtId="0" fontId="18" fillId="7" borderId="4" xfId="0" applyFont="1" applyFill="1" applyBorder="1" applyAlignment="1">
      <alignment horizontal="left" vertical="top" wrapText="1"/>
    </xf>
    <xf numFmtId="0" fontId="16" fillId="0" borderId="1" xfId="1" applyFont="1" applyBorder="1" applyAlignment="1">
      <alignment horizontal="left" vertical="top"/>
    </xf>
    <xf numFmtId="164" fontId="16" fillId="0" borderId="1" xfId="1" applyNumberFormat="1" applyFont="1" applyBorder="1" applyAlignment="1">
      <alignment horizontal="left" vertical="top"/>
    </xf>
    <xf numFmtId="169" fontId="16" fillId="0" borderId="1" xfId="1" applyNumberFormat="1" applyFont="1" applyBorder="1" applyAlignment="1">
      <alignment horizontal="left" vertical="top"/>
    </xf>
    <xf numFmtId="10" fontId="16" fillId="0" borderId="1" xfId="1" applyNumberFormat="1" applyFont="1" applyBorder="1" applyAlignment="1">
      <alignment horizontal="left" vertical="top"/>
    </xf>
    <xf numFmtId="169" fontId="19" fillId="0" borderId="1" xfId="1" applyNumberFormat="1" applyFont="1" applyBorder="1" applyAlignment="1">
      <alignment horizontal="left" vertical="top"/>
    </xf>
    <xf numFmtId="168" fontId="19" fillId="0" borderId="1" xfId="1" applyNumberFormat="1" applyFont="1" applyBorder="1" applyAlignment="1">
      <alignment horizontal="left" vertical="top"/>
    </xf>
    <xf numFmtId="167" fontId="16" fillId="0" borderId="2" xfId="1" applyNumberFormat="1" applyFont="1" applyBorder="1" applyAlignment="1">
      <alignment horizontal="left" vertical="top" wrapText="1"/>
    </xf>
    <xf numFmtId="164" fontId="17" fillId="0" borderId="1" xfId="1" applyNumberFormat="1" applyFont="1" applyBorder="1" applyAlignment="1">
      <alignment horizontal="left" vertical="top"/>
    </xf>
    <xf numFmtId="166" fontId="17" fillId="0" borderId="1" xfId="1" applyNumberFormat="1" applyFont="1" applyBorder="1" applyAlignment="1">
      <alignment horizontal="left" vertical="top" wrapText="1"/>
    </xf>
    <xf numFmtId="169" fontId="17" fillId="0" borderId="1" xfId="1" applyNumberFormat="1" applyFont="1" applyBorder="1" applyAlignment="1">
      <alignment horizontal="left" vertical="top"/>
    </xf>
    <xf numFmtId="167" fontId="16" fillId="6" borderId="2" xfId="1" applyNumberFormat="1" applyFont="1" applyFill="1" applyBorder="1" applyAlignment="1">
      <alignment horizontal="left" vertical="top"/>
    </xf>
    <xf numFmtId="167" fontId="20" fillId="0" borderId="2" xfId="1" applyNumberFormat="1" applyFont="1" applyBorder="1" applyAlignment="1">
      <alignment horizontal="left" vertical="top" wrapText="1"/>
    </xf>
    <xf numFmtId="0" fontId="18" fillId="0" borderId="1" xfId="1" applyFont="1" applyBorder="1" applyAlignment="1">
      <alignment horizontal="left" vertical="top" wrapText="1"/>
    </xf>
    <xf numFmtId="0" fontId="13" fillId="0" borderId="0" xfId="0" applyFont="1" applyAlignment="1">
      <alignment vertical="top"/>
    </xf>
    <xf numFmtId="0" fontId="13" fillId="0" borderId="0" xfId="0" applyFont="1">
      <alignment vertical="top" wrapText="1"/>
    </xf>
    <xf numFmtId="170" fontId="14" fillId="0" borderId="0" xfId="0" applyNumberFormat="1" applyFont="1" applyAlignment="1">
      <alignment horizontal="left" vertical="top" wrapText="1"/>
    </xf>
    <xf numFmtId="2" fontId="13" fillId="0" borderId="0" xfId="0" applyNumberFormat="1" applyFont="1" applyAlignment="1">
      <alignment horizontal="left" vertical="top" wrapText="1"/>
    </xf>
    <xf numFmtId="2" fontId="13" fillId="0" borderId="5" xfId="0" applyNumberFormat="1" applyFont="1" applyBorder="1" applyAlignment="1">
      <alignment horizontal="left" vertical="top" wrapText="1"/>
    </xf>
    <xf numFmtId="0" fontId="13" fillId="0" borderId="5" xfId="0" applyFont="1" applyBorder="1">
      <alignment vertical="top" wrapText="1"/>
    </xf>
    <xf numFmtId="0" fontId="13" fillId="8" borderId="0" xfId="0" applyFont="1" applyFill="1" applyAlignment="1">
      <alignment horizontal="left" vertical="top" wrapText="1"/>
    </xf>
    <xf numFmtId="0" fontId="15" fillId="8" borderId="0" xfId="1" applyFont="1" applyFill="1" applyAlignment="1">
      <alignment horizontal="left" vertical="top" wrapText="1"/>
    </xf>
    <xf numFmtId="0" fontId="15" fillId="8" borderId="5" xfId="1" applyFont="1" applyFill="1" applyBorder="1" applyAlignment="1">
      <alignment horizontal="left" vertical="top" wrapText="1"/>
    </xf>
    <xf numFmtId="0" fontId="17" fillId="5" borderId="2" xfId="1" applyFont="1" applyFill="1" applyBorder="1" applyAlignment="1">
      <alignment horizontal="left" vertical="top"/>
    </xf>
    <xf numFmtId="0" fontId="17" fillId="5" borderId="3" xfId="1" applyFont="1" applyFill="1" applyBorder="1" applyAlignment="1">
      <alignment horizontal="left" vertical="top"/>
    </xf>
    <xf numFmtId="0" fontId="14" fillId="0" borderId="0" xfId="0" applyFont="1" applyFill="1">
      <alignment vertical="top" wrapText="1"/>
    </xf>
    <xf numFmtId="0" fontId="14" fillId="0" borderId="0" xfId="0" applyFont="1" applyFill="1" applyAlignment="1">
      <alignment vertical="top"/>
    </xf>
    <xf numFmtId="169" fontId="14" fillId="0" borderId="0" xfId="0" applyNumberFormat="1" applyFont="1" applyFill="1" applyAlignment="1">
      <alignment horizontal="left" vertical="top" wrapText="1"/>
    </xf>
    <xf numFmtId="0" fontId="14" fillId="0" borderId="0" xfId="0" applyFont="1" applyFill="1" applyAlignment="1">
      <alignment horizontal="left" vertical="top" wrapText="1"/>
    </xf>
    <xf numFmtId="10" fontId="14" fillId="0" borderId="0" xfId="0" applyNumberFormat="1" applyFont="1" applyFill="1" applyAlignment="1">
      <alignment horizontal="left" vertical="top" wrapText="1"/>
    </xf>
  </cellXfs>
  <cellStyles count="39">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Normal" xfId="0" builtinId="0"/>
    <cellStyle name="Normal 2" xfId="1" xr:uid="{00000000-0005-0000-0000-000011000000}"/>
    <cellStyle name="Normal 2 2" xfId="2" xr:uid="{00000000-0005-0000-0000-000012000000}"/>
    <cellStyle name="Normal 2 2 2" xfId="3" xr:uid="{00000000-0005-0000-0000-000013000000}"/>
    <cellStyle name="Normal 2 2 2 2" xfId="4" xr:uid="{00000000-0005-0000-0000-000014000000}"/>
    <cellStyle name="Normal 2 2 2 2 2" xfId="34" xr:uid="{EC80B652-C4D0-4F7E-BDD2-81C7EB28EA3E}"/>
    <cellStyle name="Normal 2 2 3" xfId="5" xr:uid="{00000000-0005-0000-0000-000015000000}"/>
    <cellStyle name="Normal 2 2 3 2" xfId="6" xr:uid="{00000000-0005-0000-0000-000016000000}"/>
    <cellStyle name="Normal 2 2 4" xfId="7" xr:uid="{00000000-0005-0000-0000-000017000000}"/>
    <cellStyle name="Normal 2 2 4 2" xfId="35" xr:uid="{36FF2115-459D-4B88-989F-D445E92305D1}"/>
    <cellStyle name="Normal 2 3" xfId="8" xr:uid="{00000000-0005-0000-0000-000018000000}"/>
    <cellStyle name="Normal 2 3 2" xfId="9" xr:uid="{00000000-0005-0000-0000-000019000000}"/>
    <cellStyle name="Normal 2 4" xfId="31" xr:uid="{31FE2B51-64CC-C047-B6A2-0836C569899A}"/>
    <cellStyle name="Normal 2 5" xfId="33" xr:uid="{739594B2-83A4-4CE0-9DCB-7445E9CEF8FE}"/>
    <cellStyle name="Normal 3" xfId="10" xr:uid="{00000000-0005-0000-0000-00001A000000}"/>
    <cellStyle name="Normal 3 2" xfId="11" xr:uid="{00000000-0005-0000-0000-00001B000000}"/>
    <cellStyle name="Normal 3 2 2" xfId="36" xr:uid="{E4EE4BC3-88F5-4E72-A483-2E19DBBF2AD6}"/>
    <cellStyle name="Normal 4" xfId="12" xr:uid="{00000000-0005-0000-0000-00001C000000}"/>
    <cellStyle name="Normal 4 2" xfId="13" xr:uid="{00000000-0005-0000-0000-00001D000000}"/>
    <cellStyle name="Normal 4 2 2" xfId="37" xr:uid="{1BFB7D6A-C331-46D7-829D-51A864173108}"/>
    <cellStyle name="Normal 5" xfId="14" xr:uid="{00000000-0005-0000-0000-00001E000000}"/>
    <cellStyle name="Normal 5 2" xfId="38" xr:uid="{DBDD6E46-4604-4645-B45C-9100DB10CC13}"/>
    <cellStyle name="Normal 6" xfId="32" xr:uid="{9A6C9BF3-7A4C-A749-ABE3-12E743A7FC51}"/>
  </cellStyles>
  <dxfs count="27">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numFmt numFmtId="169" formatCode="0.00000000"/>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numFmt numFmtId="169" formatCode="0.00000000"/>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numFmt numFmtId="14" formatCode="0.00%"/>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numFmt numFmtId="14" formatCode="0.00%"/>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numFmt numFmtId="169" formatCode="0.00000000"/>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numFmt numFmtId="169" formatCode="0.00000000"/>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numFmt numFmtId="169" formatCode="0.00000000"/>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numFmt numFmtId="169" formatCode="0.00000000"/>
      <alignment horizontal="left" vertical="top" textRotation="0" wrapText="1" indent="0" justifyLastLine="0" shrinkToFit="0" readingOrder="0"/>
    </dxf>
    <dxf>
      <font>
        <b val="0"/>
        <i val="0"/>
        <strike val="0"/>
        <condense val="0"/>
        <extend val="0"/>
        <outline val="0"/>
        <shadow val="0"/>
        <u val="none"/>
        <vertAlign val="baseline"/>
        <sz val="12"/>
        <color auto="1"/>
        <name val="Times New Roman"/>
        <family val="1"/>
        <scheme val="none"/>
      </font>
    </dxf>
    <dxf>
      <font>
        <b val="0"/>
        <i val="0"/>
        <strike val="0"/>
        <condense val="0"/>
        <extend val="0"/>
        <outline val="0"/>
        <shadow val="0"/>
        <u val="none"/>
        <vertAlign val="baseline"/>
        <sz val="12"/>
        <color auto="1"/>
        <name val="Times New Roman"/>
        <family val="1"/>
        <scheme val="none"/>
      </font>
    </dxf>
    <dxf>
      <font>
        <b val="0"/>
        <i val="0"/>
        <strike val="0"/>
        <condense val="0"/>
        <extend val="0"/>
        <outline val="0"/>
        <shadow val="0"/>
        <u val="none"/>
        <vertAlign val="baseline"/>
        <sz val="12"/>
        <color auto="1"/>
        <name val="Times New Roman"/>
        <family val="1"/>
        <scheme val="none"/>
      </font>
    </dxf>
    <dxf>
      <font>
        <b val="0"/>
        <i val="0"/>
        <strike val="0"/>
        <condense val="0"/>
        <extend val="0"/>
        <outline val="0"/>
        <shadow val="0"/>
        <u val="none"/>
        <vertAlign val="baseline"/>
        <sz val="12"/>
        <color auto="1"/>
        <name val="Times New Roman"/>
        <family val="1"/>
        <scheme val="none"/>
      </font>
    </dxf>
    <dxf>
      <font>
        <b val="0"/>
        <i val="0"/>
        <strike val="0"/>
        <condense val="0"/>
        <extend val="0"/>
        <outline val="0"/>
        <shadow val="0"/>
        <u val="none"/>
        <vertAlign val="baseline"/>
        <sz val="12"/>
        <color auto="1"/>
        <name val="Times New Roman"/>
        <family val="1"/>
        <scheme val="none"/>
      </font>
      <alignment horizontal="general" vertical="top" textRotation="0" wrapText="0" indent="0" justifyLastLine="0" shrinkToFit="0" readingOrder="0"/>
    </dxf>
    <dxf>
      <font>
        <b val="0"/>
        <i val="0"/>
        <strike val="0"/>
        <condense val="0"/>
        <extend val="0"/>
        <outline val="0"/>
        <shadow val="0"/>
        <u val="none"/>
        <vertAlign val="baseline"/>
        <sz val="12"/>
        <color auto="1"/>
        <name val="Times New Roman"/>
        <family val="1"/>
        <scheme val="none"/>
      </font>
      <alignment horizontal="general" vertical="top" textRotation="0" wrapText="0" indent="0" justifyLastLine="0" shrinkToFit="0" readingOrder="0"/>
    </dxf>
    <dxf>
      <font>
        <b val="0"/>
        <i val="0"/>
        <strike val="0"/>
        <condense val="0"/>
        <extend val="0"/>
        <outline val="0"/>
        <shadow val="0"/>
        <u val="none"/>
        <vertAlign val="baseline"/>
        <sz val="12"/>
        <color auto="1"/>
        <name val="Times New Roman"/>
        <family val="1"/>
        <scheme val="none"/>
      </font>
    </dxf>
    <dxf>
      <font>
        <b val="0"/>
        <i val="0"/>
        <strike val="0"/>
        <condense val="0"/>
        <extend val="0"/>
        <outline val="0"/>
        <shadow val="0"/>
        <u val="none"/>
        <vertAlign val="baseline"/>
        <sz val="12"/>
        <color auto="1"/>
        <name val="Times New Roman"/>
        <family val="1"/>
        <scheme val="none"/>
      </font>
    </dxf>
    <dxf>
      <font>
        <b val="0"/>
        <i val="0"/>
        <strike val="0"/>
        <condense val="0"/>
        <extend val="0"/>
        <outline val="0"/>
        <shadow val="0"/>
        <u val="none"/>
        <vertAlign val="baseline"/>
        <sz val="12"/>
        <color auto="1"/>
        <name val="Times New Roman"/>
        <family val="1"/>
        <scheme val="none"/>
      </font>
      <alignment horizontal="left" vertical="top" textRotation="0" wrapText="1" indent="0" justifyLastLine="0" shrinkToFit="0" readingOrder="0"/>
    </dxf>
  </dxfs>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9081A3F-1D66-4B30-BA75-58779C468A30}" name="Table1" displayName="Table1" ref="A5:M29" totalsRowCount="1" dataDxfId="26">
  <autoFilter ref="A5:M28" xr:uid="{E9081A3F-1D66-4B30-BA75-58779C468A30}"/>
  <tableColumns count="13">
    <tableColumn id="1" xr3:uid="{ED9FE23C-43D3-43E3-AFD5-AB39A3972B8A}" name="Legal Description" dataDxfId="25" totalsRowDxfId="24"/>
    <tableColumn id="2" xr3:uid="{6BE17E62-3004-4BB5-BF91-BE704AE282D6}" name="County" dataDxfId="23" totalsRowDxfId="22"/>
    <tableColumn id="3" xr3:uid="{85CB737E-5433-4026-B2FB-23122BC2FEC1}" name="State" dataDxfId="21" totalsRowDxfId="20"/>
    <tableColumn id="4" xr3:uid="{D85B43D7-AFF1-4B16-9E05-0352E67EFF30}" name="Interest Type" dataDxfId="19" totalsRowDxfId="18"/>
    <tableColumn id="5" xr3:uid="{FD47C9FF-ED2A-4FAF-BE42-588A53A0F892}" name="Decimal Interest" dataDxfId="17" totalsRowDxfId="16"/>
    <tableColumn id="6" xr3:uid="{F22312B7-0D34-4D3B-8109-1D795BAC40E6}" name="Gross Acres" dataDxfId="15" totalsRowDxfId="14"/>
    <tableColumn id="7" xr3:uid="{7E2831B4-07E3-4FC8-9397-A8AA80F15931}" name="Net Mineral Acres" dataDxfId="13" totalsRowDxfId="12">
      <calculatedColumnFormula>F6*E6</calculatedColumnFormula>
    </tableColumn>
    <tableColumn id="8" xr3:uid="{82D22739-ABE5-4F0E-AAA4-8151BD1A65A8}" name="Leasehold Status" dataDxfId="11" totalsRowDxfId="10"/>
    <tableColumn id="9" xr3:uid="{A9DA945E-7E3B-490D-B633-BBF9D0001471}" name="Royalty" dataDxfId="9" totalsRowDxfId="8"/>
    <tableColumn id="10" xr3:uid="{A1CE62AB-EE2F-4B96-887F-D551EEBD0398}" name="Net Royalty Acres" totalsRowFunction="custom" dataDxfId="7" totalsRowDxfId="6">
      <totalsRowFormula>SUM(Table1[Net Royalty Acres])</totalsRowFormula>
    </tableColumn>
    <tableColumn id="11" xr3:uid="{C79AACAA-A183-425A-9D41-0E8ADBF8436E}" name="Operator" dataDxfId="5" totalsRowDxfId="4"/>
    <tableColumn id="12" xr3:uid="{EAA20D37-F513-4F31-8F4D-65C039AEED06}" name="Unit" dataDxfId="3" totalsRowDxfId="2"/>
    <tableColumn id="15" xr3:uid="{173C8307-D5F7-4C95-8FCA-5AAC0F9B7E84}" name="Notes / Questions" dataDxfId="1" totalsRow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31750">
          <a:solidFill>
            <a:schemeClr val="tx1"/>
          </a:solidFill>
          <a:prstDash val="sysDash"/>
        </a:ln>
      </a:spPr>
      <a:bodyPr rtlCol="0" anchor="ctr"/>
      <a:lstStyle>
        <a:defPPr algn="ctr">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C319B-84AE-4CA4-9D5D-F8C5DE01BCBF}">
  <dimension ref="A1:M38"/>
  <sheetViews>
    <sheetView tabSelected="1" topLeftCell="A25" zoomScaleNormal="100" workbookViewId="0">
      <selection activeCell="E27" sqref="E27"/>
    </sheetView>
  </sheetViews>
  <sheetFormatPr defaultRowHeight="15.75" x14ac:dyDescent="0.2"/>
  <cols>
    <col min="1" max="1" width="57.5703125" style="3" bestFit="1" customWidth="1"/>
    <col min="2" max="2" width="10" style="10" customWidth="1"/>
    <col min="3" max="3" width="8.140625" style="3" customWidth="1"/>
    <col min="4" max="4" width="23.85546875" style="3" bestFit="1" customWidth="1"/>
    <col min="5" max="5" width="19.140625" style="6" customWidth="1"/>
    <col min="6" max="6" width="15" style="4" customWidth="1"/>
    <col min="7" max="7" width="21.140625" style="6" customWidth="1"/>
    <col min="8" max="8" width="19.5703125" style="4" customWidth="1"/>
    <col min="9" max="9" width="10.7109375" style="8" customWidth="1"/>
    <col min="10" max="10" width="21" style="6" customWidth="1"/>
    <col min="11" max="11" width="24.140625" style="3" customWidth="1"/>
    <col min="12" max="12" width="16.7109375" style="3" customWidth="1"/>
    <col min="13" max="13" width="41" style="3" customWidth="1"/>
    <col min="14" max="16384" width="9.140625" style="3"/>
  </cols>
  <sheetData>
    <row r="1" spans="1:13" ht="15.75" customHeight="1" x14ac:dyDescent="0.2">
      <c r="A1" s="44" t="s">
        <v>150</v>
      </c>
      <c r="B1" s="44"/>
      <c r="C1" s="44"/>
      <c r="D1" s="44"/>
      <c r="E1" s="44"/>
      <c r="F1" s="3"/>
      <c r="G1" s="3"/>
      <c r="H1" s="3"/>
      <c r="I1" s="3"/>
      <c r="J1" s="3"/>
    </row>
    <row r="2" spans="1:13" x14ac:dyDescent="0.2">
      <c r="A2" s="44"/>
      <c r="B2" s="44"/>
      <c r="C2" s="44"/>
      <c r="D2" s="44"/>
      <c r="E2" s="44"/>
      <c r="F2" s="3"/>
      <c r="G2" s="3"/>
      <c r="H2" s="3"/>
      <c r="I2" s="3"/>
      <c r="J2" s="3"/>
    </row>
    <row r="3" spans="1:13" x14ac:dyDescent="0.2">
      <c r="A3" s="44"/>
      <c r="B3" s="44"/>
      <c r="C3" s="44"/>
      <c r="D3" s="44"/>
      <c r="E3" s="44"/>
      <c r="F3" s="3"/>
      <c r="G3" s="3"/>
      <c r="H3" s="3"/>
      <c r="I3" s="3"/>
      <c r="J3" s="3"/>
    </row>
    <row r="4" spans="1:13" x14ac:dyDescent="0.2">
      <c r="A4" s="44"/>
      <c r="B4" s="44"/>
      <c r="C4" s="44"/>
      <c r="D4" s="44"/>
      <c r="E4" s="44"/>
      <c r="F4" s="3"/>
      <c r="G4" s="3"/>
      <c r="H4" s="3"/>
      <c r="I4" s="3"/>
      <c r="J4" s="3"/>
    </row>
    <row r="5" spans="1:13" x14ac:dyDescent="0.2">
      <c r="A5" s="1" t="s">
        <v>108</v>
      </c>
      <c r="B5" s="9" t="s">
        <v>113</v>
      </c>
      <c r="C5" s="1" t="s">
        <v>114</v>
      </c>
      <c r="D5" s="1" t="s">
        <v>110</v>
      </c>
      <c r="E5" s="5" t="s">
        <v>109</v>
      </c>
      <c r="F5" s="2" t="s">
        <v>115</v>
      </c>
      <c r="G5" s="5" t="s">
        <v>111</v>
      </c>
      <c r="H5" s="2" t="s">
        <v>119</v>
      </c>
      <c r="I5" s="7" t="s">
        <v>121</v>
      </c>
      <c r="J5" s="5" t="s">
        <v>112</v>
      </c>
      <c r="K5" s="3" t="s">
        <v>151</v>
      </c>
      <c r="L5" s="3" t="s">
        <v>0</v>
      </c>
      <c r="M5" s="3" t="s">
        <v>162</v>
      </c>
    </row>
    <row r="6" spans="1:13" x14ac:dyDescent="0.2">
      <c r="A6" s="3" t="s">
        <v>116</v>
      </c>
      <c r="B6" s="10" t="s">
        <v>117</v>
      </c>
      <c r="C6" s="3" t="s">
        <v>118</v>
      </c>
      <c r="D6" s="3" t="s">
        <v>122</v>
      </c>
      <c r="E6" s="6">
        <f>1/384</f>
        <v>2.6041666666666665E-3</v>
      </c>
      <c r="F6" s="4">
        <v>640</v>
      </c>
      <c r="G6" s="6">
        <f>F6*E6</f>
        <v>1.6666666666666665</v>
      </c>
      <c r="H6" s="4" t="s">
        <v>120</v>
      </c>
      <c r="I6" s="8">
        <v>0.25</v>
      </c>
      <c r="J6" s="6">
        <f>G6*8*I6</f>
        <v>3.333333333333333</v>
      </c>
      <c r="K6" s="4" t="s">
        <v>165</v>
      </c>
      <c r="L6" s="4" t="s">
        <v>34</v>
      </c>
      <c r="M6" s="4"/>
    </row>
    <row r="7" spans="1:13" x14ac:dyDescent="0.2">
      <c r="A7" s="3" t="s">
        <v>123</v>
      </c>
      <c r="B7" s="10" t="s">
        <v>117</v>
      </c>
      <c r="C7" s="3" t="s">
        <v>118</v>
      </c>
      <c r="D7" s="3" t="s">
        <v>122</v>
      </c>
      <c r="E7" s="6">
        <f>1/384</f>
        <v>2.6041666666666665E-3</v>
      </c>
      <c r="F7" s="4">
        <v>639</v>
      </c>
      <c r="G7" s="6">
        <f t="shared" ref="G7:G10" si="0">F7*E7</f>
        <v>1.6640625</v>
      </c>
      <c r="H7" s="4" t="s">
        <v>120</v>
      </c>
      <c r="I7" s="8">
        <v>0.25</v>
      </c>
      <c r="J7" s="6">
        <f t="shared" ref="J7:J10" si="1">G7*8*I7</f>
        <v>3.328125</v>
      </c>
      <c r="K7" s="4" t="s">
        <v>165</v>
      </c>
      <c r="L7" s="4" t="s">
        <v>34</v>
      </c>
      <c r="M7" s="4"/>
    </row>
    <row r="8" spans="1:13" x14ac:dyDescent="0.2">
      <c r="A8" s="3" t="s">
        <v>124</v>
      </c>
      <c r="B8" s="10" t="s">
        <v>117</v>
      </c>
      <c r="C8" s="3" t="s">
        <v>118</v>
      </c>
      <c r="D8" s="3" t="s">
        <v>122</v>
      </c>
      <c r="E8" s="6">
        <v>2.6041670000000001E-3</v>
      </c>
      <c r="F8" s="4">
        <v>640</v>
      </c>
      <c r="G8" s="6">
        <f t="shared" si="0"/>
        <v>1.6666668800000002</v>
      </c>
      <c r="H8" s="4" t="s">
        <v>120</v>
      </c>
      <c r="I8" s="8">
        <v>0.25</v>
      </c>
      <c r="J8" s="6">
        <f t="shared" si="1"/>
        <v>3.3333337600000004</v>
      </c>
      <c r="K8" s="4" t="s">
        <v>172</v>
      </c>
      <c r="L8" s="4" t="s">
        <v>171</v>
      </c>
      <c r="M8" s="4" t="s">
        <v>173</v>
      </c>
    </row>
    <row r="9" spans="1:13" x14ac:dyDescent="0.2">
      <c r="A9" s="3" t="s">
        <v>125</v>
      </c>
      <c r="B9" s="10" t="s">
        <v>117</v>
      </c>
      <c r="C9" s="3" t="s">
        <v>118</v>
      </c>
      <c r="D9" s="3" t="s">
        <v>122</v>
      </c>
      <c r="E9" s="6">
        <v>2.6041670000000001E-3</v>
      </c>
      <c r="F9" s="4">
        <v>640</v>
      </c>
      <c r="G9" s="6">
        <f t="shared" si="0"/>
        <v>1.6666668800000002</v>
      </c>
      <c r="H9" s="4" t="s">
        <v>120</v>
      </c>
      <c r="I9" s="8">
        <v>0.25</v>
      </c>
      <c r="J9" s="6">
        <f t="shared" si="1"/>
        <v>3.3333337600000004</v>
      </c>
      <c r="K9" s="4" t="s">
        <v>165</v>
      </c>
      <c r="L9" s="4" t="s">
        <v>166</v>
      </c>
      <c r="M9" s="4"/>
    </row>
    <row r="10" spans="1:13" x14ac:dyDescent="0.2">
      <c r="A10" s="3" t="s">
        <v>126</v>
      </c>
      <c r="B10" s="10" t="s">
        <v>117</v>
      </c>
      <c r="C10" s="3" t="s">
        <v>118</v>
      </c>
      <c r="D10" s="3" t="s">
        <v>122</v>
      </c>
      <c r="E10" s="6">
        <v>2.6041670000000001E-3</v>
      </c>
      <c r="F10" s="4">
        <v>672</v>
      </c>
      <c r="G10" s="6">
        <f t="shared" si="0"/>
        <v>1.7500002240000001</v>
      </c>
      <c r="H10" s="4" t="s">
        <v>120</v>
      </c>
      <c r="I10" s="8">
        <v>0.25</v>
      </c>
      <c r="J10" s="6">
        <f t="shared" si="1"/>
        <v>3.5000004480000002</v>
      </c>
      <c r="K10" s="4" t="s">
        <v>165</v>
      </c>
      <c r="L10" s="4" t="s">
        <v>47</v>
      </c>
      <c r="M10" s="4"/>
    </row>
    <row r="11" spans="1:13" x14ac:dyDescent="0.2">
      <c r="A11" s="3" t="s">
        <v>127</v>
      </c>
      <c r="B11" s="10" t="s">
        <v>117</v>
      </c>
      <c r="C11" s="3" t="s">
        <v>118</v>
      </c>
      <c r="D11" s="3" t="s">
        <v>122</v>
      </c>
      <c r="E11" s="6">
        <v>2.6041670000000001E-3</v>
      </c>
      <c r="F11" s="4">
        <v>640</v>
      </c>
      <c r="G11" s="6">
        <f t="shared" ref="G11" si="2">F11*E11</f>
        <v>1.6666668800000002</v>
      </c>
      <c r="H11" s="4" t="s">
        <v>120</v>
      </c>
      <c r="I11" s="8">
        <v>0.25</v>
      </c>
      <c r="J11" s="6">
        <f t="shared" ref="J11" si="3">G11*8*I11</f>
        <v>3.3333337600000004</v>
      </c>
      <c r="K11" s="4" t="s">
        <v>165</v>
      </c>
      <c r="L11" s="4" t="s">
        <v>49</v>
      </c>
      <c r="M11" s="4"/>
    </row>
    <row r="12" spans="1:13" x14ac:dyDescent="0.2">
      <c r="A12" s="3" t="s">
        <v>128</v>
      </c>
      <c r="B12" s="10" t="s">
        <v>117</v>
      </c>
      <c r="C12" s="3" t="s">
        <v>118</v>
      </c>
      <c r="D12" s="3" t="s">
        <v>122</v>
      </c>
      <c r="E12" s="6">
        <v>2.6041670000000001E-3</v>
      </c>
      <c r="F12" s="4">
        <v>671</v>
      </c>
      <c r="G12" s="6">
        <f t="shared" ref="G12" si="4">F12*E12</f>
        <v>1.747396057</v>
      </c>
      <c r="H12" s="4" t="s">
        <v>120</v>
      </c>
      <c r="I12" s="8">
        <v>0.25</v>
      </c>
      <c r="J12" s="6">
        <f t="shared" ref="J12" si="5">G12*8*I12</f>
        <v>3.494792114</v>
      </c>
      <c r="K12" s="4" t="s">
        <v>165</v>
      </c>
      <c r="L12" s="4" t="s">
        <v>169</v>
      </c>
      <c r="M12" s="4"/>
    </row>
    <row r="13" spans="1:13" x14ac:dyDescent="0.2">
      <c r="A13" s="3" t="s">
        <v>129</v>
      </c>
      <c r="B13" s="10" t="s">
        <v>117</v>
      </c>
      <c r="C13" s="3" t="s">
        <v>118</v>
      </c>
      <c r="D13" s="3" t="s">
        <v>122</v>
      </c>
      <c r="E13" s="6">
        <v>2.6041670000000001E-3</v>
      </c>
      <c r="F13" s="4">
        <v>670</v>
      </c>
      <c r="G13" s="6">
        <f t="shared" ref="G13" si="6">F13*E13</f>
        <v>1.7447918900000001</v>
      </c>
      <c r="H13" s="4" t="s">
        <v>120</v>
      </c>
      <c r="I13" s="8">
        <v>0.25</v>
      </c>
      <c r="J13" s="6">
        <f t="shared" ref="J13" si="7">G13*8*I13</f>
        <v>3.4895837800000002</v>
      </c>
      <c r="K13" s="4" t="s">
        <v>165</v>
      </c>
      <c r="L13" s="4" t="s">
        <v>49</v>
      </c>
      <c r="M13" s="4"/>
    </row>
    <row r="14" spans="1:13" x14ac:dyDescent="0.2">
      <c r="A14" s="3" t="s">
        <v>130</v>
      </c>
      <c r="B14" s="10" t="s">
        <v>117</v>
      </c>
      <c r="C14" s="3" t="s">
        <v>118</v>
      </c>
      <c r="D14" s="3" t="s">
        <v>122</v>
      </c>
      <c r="E14" s="6">
        <v>2.6041670000000001E-3</v>
      </c>
      <c r="F14" s="4">
        <v>658</v>
      </c>
      <c r="G14" s="6">
        <f t="shared" ref="G14" si="8">F14*E14</f>
        <v>1.713541886</v>
      </c>
      <c r="H14" s="4" t="s">
        <v>120</v>
      </c>
      <c r="I14" s="8">
        <v>0.25</v>
      </c>
      <c r="J14" s="6">
        <f t="shared" ref="J14" si="9">G14*8*I14</f>
        <v>3.427083772</v>
      </c>
      <c r="K14" s="4" t="s">
        <v>165</v>
      </c>
      <c r="L14" s="4" t="s">
        <v>167</v>
      </c>
      <c r="M14" s="4" t="s">
        <v>170</v>
      </c>
    </row>
    <row r="15" spans="1:13" x14ac:dyDescent="0.2">
      <c r="A15" s="3" t="s">
        <v>131</v>
      </c>
      <c r="B15" s="10" t="s">
        <v>117</v>
      </c>
      <c r="C15" s="3" t="s">
        <v>118</v>
      </c>
      <c r="D15" s="3" t="s">
        <v>122</v>
      </c>
      <c r="E15" s="6">
        <v>2.6041670000000001E-3</v>
      </c>
      <c r="F15" s="4">
        <v>640</v>
      </c>
      <c r="G15" s="6">
        <f t="shared" ref="G15" si="10">F15*E15</f>
        <v>1.6666668800000002</v>
      </c>
      <c r="H15" s="4" t="s">
        <v>120</v>
      </c>
      <c r="I15" s="8">
        <v>0.25</v>
      </c>
      <c r="J15" s="6">
        <f t="shared" ref="J15" si="11">G15*8*I15</f>
        <v>3.3333337600000004</v>
      </c>
      <c r="K15" s="4" t="s">
        <v>165</v>
      </c>
      <c r="L15" s="4" t="s">
        <v>168</v>
      </c>
      <c r="M15" s="4" t="s">
        <v>170</v>
      </c>
    </row>
    <row r="16" spans="1:13" x14ac:dyDescent="0.2">
      <c r="A16" s="3" t="s">
        <v>132</v>
      </c>
      <c r="B16" s="10" t="s">
        <v>117</v>
      </c>
      <c r="C16" s="3" t="s">
        <v>118</v>
      </c>
      <c r="D16" s="3" t="s">
        <v>122</v>
      </c>
      <c r="E16" s="6">
        <v>2.6041670000000001E-3</v>
      </c>
      <c r="F16" s="4">
        <v>670</v>
      </c>
      <c r="G16" s="6">
        <f t="shared" ref="G16:G17" si="12">F16*E16</f>
        <v>1.7447918900000001</v>
      </c>
      <c r="H16" s="4" t="s">
        <v>120</v>
      </c>
      <c r="I16" s="8">
        <v>0.25</v>
      </c>
      <c r="J16" s="6">
        <f t="shared" ref="J16:J22" si="13">G16*8*I16</f>
        <v>3.4895837800000002</v>
      </c>
      <c r="K16" s="4" t="s">
        <v>172</v>
      </c>
      <c r="L16" s="4" t="s">
        <v>35</v>
      </c>
      <c r="M16" s="4"/>
    </row>
    <row r="17" spans="1:13" x14ac:dyDescent="0.2">
      <c r="A17" s="49" t="s">
        <v>133</v>
      </c>
      <c r="B17" s="50" t="s">
        <v>134</v>
      </c>
      <c r="C17" s="49" t="s">
        <v>118</v>
      </c>
      <c r="D17" s="49" t="s">
        <v>122</v>
      </c>
      <c r="E17" s="51">
        <v>0.125</v>
      </c>
      <c r="F17" s="52">
        <v>80</v>
      </c>
      <c r="G17" s="51">
        <f t="shared" si="12"/>
        <v>10</v>
      </c>
      <c r="H17" s="52" t="s">
        <v>120</v>
      </c>
      <c r="I17" s="53">
        <v>0.25</v>
      </c>
      <c r="J17" s="51">
        <f t="shared" si="13"/>
        <v>20</v>
      </c>
      <c r="K17" s="52" t="s">
        <v>160</v>
      </c>
      <c r="L17" s="52" t="s">
        <v>28</v>
      </c>
      <c r="M17" s="4"/>
    </row>
    <row r="18" spans="1:13" x14ac:dyDescent="0.2">
      <c r="A18" s="49" t="s">
        <v>136</v>
      </c>
      <c r="B18" s="50" t="s">
        <v>134</v>
      </c>
      <c r="C18" s="49" t="s">
        <v>118</v>
      </c>
      <c r="D18" s="49" t="s">
        <v>122</v>
      </c>
      <c r="E18" s="51">
        <v>0.125</v>
      </c>
      <c r="F18" s="52">
        <v>185.47</v>
      </c>
      <c r="G18" s="51">
        <f t="shared" ref="G18:G23" si="14">F18*E18</f>
        <v>23.18375</v>
      </c>
      <c r="H18" s="52" t="s">
        <v>120</v>
      </c>
      <c r="I18" s="53">
        <v>0.25</v>
      </c>
      <c r="J18" s="51">
        <f t="shared" si="13"/>
        <v>46.3675</v>
      </c>
      <c r="K18" s="52" t="s">
        <v>154</v>
      </c>
      <c r="L18" s="52" t="s">
        <v>155</v>
      </c>
      <c r="M18" s="4"/>
    </row>
    <row r="19" spans="1:13" ht="31.5" x14ac:dyDescent="0.2">
      <c r="A19" s="49" t="s">
        <v>137</v>
      </c>
      <c r="B19" s="50" t="s">
        <v>134</v>
      </c>
      <c r="C19" s="49" t="s">
        <v>118</v>
      </c>
      <c r="D19" s="49" t="s">
        <v>122</v>
      </c>
      <c r="E19" s="51">
        <v>0.125</v>
      </c>
      <c r="F19" s="52">
        <v>100</v>
      </c>
      <c r="G19" s="51">
        <f t="shared" si="14"/>
        <v>12.5</v>
      </c>
      <c r="H19" s="52" t="s">
        <v>120</v>
      </c>
      <c r="I19" s="53">
        <v>0.25</v>
      </c>
      <c r="J19" s="51">
        <f t="shared" si="13"/>
        <v>25</v>
      </c>
      <c r="K19" s="52" t="s">
        <v>154</v>
      </c>
      <c r="L19" s="52" t="s">
        <v>159</v>
      </c>
      <c r="M19" s="4"/>
    </row>
    <row r="20" spans="1:13" ht="31.5" x14ac:dyDescent="0.2">
      <c r="A20" s="49" t="s">
        <v>138</v>
      </c>
      <c r="B20" s="50" t="s">
        <v>134</v>
      </c>
      <c r="C20" s="49" t="s">
        <v>118</v>
      </c>
      <c r="D20" s="49" t="s">
        <v>122</v>
      </c>
      <c r="E20" s="51">
        <v>9.0909090908999998E-2</v>
      </c>
      <c r="F20" s="52">
        <v>2.48</v>
      </c>
      <c r="G20" s="51">
        <f t="shared" si="14"/>
        <v>0.22545454545432</v>
      </c>
      <c r="H20" s="52" t="s">
        <v>120</v>
      </c>
      <c r="I20" s="53">
        <v>0.25</v>
      </c>
      <c r="J20" s="51">
        <f t="shared" si="13"/>
        <v>0.45090909090864001</v>
      </c>
      <c r="K20" s="52" t="s">
        <v>154</v>
      </c>
      <c r="L20" s="52" t="s">
        <v>156</v>
      </c>
      <c r="M20" s="4"/>
    </row>
    <row r="21" spans="1:13" ht="47.25" x14ac:dyDescent="0.2">
      <c r="A21" s="49" t="s">
        <v>139</v>
      </c>
      <c r="B21" s="50" t="s">
        <v>134</v>
      </c>
      <c r="C21" s="49" t="s">
        <v>118</v>
      </c>
      <c r="D21" s="49" t="s">
        <v>122</v>
      </c>
      <c r="E21" s="51">
        <v>9.0909090908999998E-2</v>
      </c>
      <c r="F21" s="52">
        <v>22.97</v>
      </c>
      <c r="G21" s="51">
        <f t="shared" si="14"/>
        <v>2.0881818181797298</v>
      </c>
      <c r="H21" s="52" t="s">
        <v>120</v>
      </c>
      <c r="I21" s="53">
        <v>0.25</v>
      </c>
      <c r="J21" s="51">
        <f t="shared" si="13"/>
        <v>4.1763636363594596</v>
      </c>
      <c r="K21" s="52" t="s">
        <v>154</v>
      </c>
      <c r="L21" s="52" t="s">
        <v>156</v>
      </c>
      <c r="M21" s="4" t="s">
        <v>183</v>
      </c>
    </row>
    <row r="22" spans="1:13" x14ac:dyDescent="0.2">
      <c r="A22" s="49" t="s">
        <v>140</v>
      </c>
      <c r="B22" s="50" t="s">
        <v>134</v>
      </c>
      <c r="C22" s="49" t="s">
        <v>118</v>
      </c>
      <c r="D22" s="49" t="s">
        <v>122</v>
      </c>
      <c r="E22" s="51">
        <v>6.25E-2</v>
      </c>
      <c r="F22" s="52">
        <v>320</v>
      </c>
      <c r="G22" s="51">
        <f t="shared" si="14"/>
        <v>20</v>
      </c>
      <c r="H22" s="52" t="s">
        <v>120</v>
      </c>
      <c r="I22" s="53">
        <v>0.25</v>
      </c>
      <c r="J22" s="51">
        <f t="shared" si="13"/>
        <v>40</v>
      </c>
      <c r="K22" s="52" t="s">
        <v>157</v>
      </c>
      <c r="L22" s="52" t="s">
        <v>158</v>
      </c>
      <c r="M22" s="4" t="s">
        <v>184</v>
      </c>
    </row>
    <row r="23" spans="1:13" x14ac:dyDescent="0.2">
      <c r="A23" s="49" t="s">
        <v>141</v>
      </c>
      <c r="B23" s="50" t="s">
        <v>134</v>
      </c>
      <c r="C23" s="49" t="s">
        <v>118</v>
      </c>
      <c r="D23" s="49" t="s">
        <v>122</v>
      </c>
      <c r="E23" s="51">
        <v>1</v>
      </c>
      <c r="F23" s="52">
        <v>20</v>
      </c>
      <c r="G23" s="51">
        <f t="shared" si="14"/>
        <v>20</v>
      </c>
      <c r="H23" s="52" t="s">
        <v>120</v>
      </c>
      <c r="I23" s="53">
        <v>0.25</v>
      </c>
      <c r="J23" s="51">
        <f t="shared" ref="J23" si="15">G23*8*I23</f>
        <v>40</v>
      </c>
      <c r="K23" s="52" t="s">
        <v>152</v>
      </c>
      <c r="L23" s="52" t="s">
        <v>153</v>
      </c>
      <c r="M23" s="4"/>
    </row>
    <row r="24" spans="1:13" ht="63" x14ac:dyDescent="0.2">
      <c r="A24" s="49" t="s">
        <v>146</v>
      </c>
      <c r="B24" s="50" t="s">
        <v>134</v>
      </c>
      <c r="C24" s="49" t="s">
        <v>118</v>
      </c>
      <c r="D24" s="49" t="s">
        <v>122</v>
      </c>
      <c r="E24" s="51">
        <v>1.1905000000000001E-2</v>
      </c>
      <c r="F24" s="52">
        <v>1280</v>
      </c>
      <c r="G24" s="51">
        <f>F24*E24</f>
        <v>15.2384</v>
      </c>
      <c r="H24" s="52" t="s">
        <v>145</v>
      </c>
      <c r="I24" s="53" t="s">
        <v>61</v>
      </c>
      <c r="J24" s="51">
        <f>Table1[[#This Row],[Net Mineral Acres]]*2</f>
        <v>30.476800000000001</v>
      </c>
      <c r="K24" s="52" t="s">
        <v>161</v>
      </c>
      <c r="L24" s="52" t="s">
        <v>161</v>
      </c>
      <c r="M24" s="4" t="s">
        <v>191</v>
      </c>
    </row>
    <row r="25" spans="1:13" ht="63" x14ac:dyDescent="0.2">
      <c r="A25" s="49" t="s">
        <v>146</v>
      </c>
      <c r="B25" s="50" t="s">
        <v>134</v>
      </c>
      <c r="C25" s="49" t="s">
        <v>118</v>
      </c>
      <c r="D25" s="49" t="s">
        <v>144</v>
      </c>
      <c r="E25" s="51">
        <v>2.9762E-2</v>
      </c>
      <c r="F25" s="52">
        <v>1280</v>
      </c>
      <c r="G25" s="51">
        <f>F25*E25</f>
        <v>38.095359999999999</v>
      </c>
      <c r="H25" s="52" t="s">
        <v>145</v>
      </c>
      <c r="I25" s="53" t="s">
        <v>61</v>
      </c>
      <c r="J25" s="51">
        <f>Table1[[#This Row],[Net Mineral Acres]]*2</f>
        <v>76.190719999999999</v>
      </c>
      <c r="K25" s="52" t="s">
        <v>161</v>
      </c>
      <c r="L25" s="52" t="s">
        <v>161</v>
      </c>
      <c r="M25" s="4" t="s">
        <v>192</v>
      </c>
    </row>
    <row r="26" spans="1:13" ht="94.5" x14ac:dyDescent="0.2">
      <c r="A26" s="49" t="s">
        <v>147</v>
      </c>
      <c r="B26" s="50" t="s">
        <v>148</v>
      </c>
      <c r="C26" s="49" t="s">
        <v>118</v>
      </c>
      <c r="D26" s="49" t="s">
        <v>144</v>
      </c>
      <c r="E26" s="51">
        <f>1/64</f>
        <v>1.5625E-2</v>
      </c>
      <c r="F26" s="52">
        <v>78.75</v>
      </c>
      <c r="G26" s="51">
        <f>F26*E26</f>
        <v>1.23046875</v>
      </c>
      <c r="H26" s="52" t="s">
        <v>120</v>
      </c>
      <c r="I26" s="53">
        <v>1</v>
      </c>
      <c r="J26" s="51">
        <f>G26*8*I26</f>
        <v>9.84375</v>
      </c>
      <c r="K26" s="52" t="s">
        <v>154</v>
      </c>
      <c r="L26" s="52" t="s">
        <v>163</v>
      </c>
      <c r="M26" s="4" t="s">
        <v>193</v>
      </c>
    </row>
    <row r="27" spans="1:13" ht="31.5" x14ac:dyDescent="0.2">
      <c r="A27" s="49" t="s">
        <v>149</v>
      </c>
      <c r="B27" s="50" t="s">
        <v>148</v>
      </c>
      <c r="C27" s="49" t="s">
        <v>118</v>
      </c>
      <c r="D27" s="49" t="s">
        <v>122</v>
      </c>
      <c r="E27" s="51">
        <v>0.25</v>
      </c>
      <c r="F27" s="52">
        <v>80</v>
      </c>
      <c r="G27" s="51">
        <f>F27*E27</f>
        <v>20</v>
      </c>
      <c r="H27" s="52" t="s">
        <v>120</v>
      </c>
      <c r="I27" s="53">
        <v>0.25</v>
      </c>
      <c r="J27" s="51">
        <f t="shared" ref="J27" si="16">G27*8*I27</f>
        <v>40</v>
      </c>
      <c r="K27" s="52" t="s">
        <v>154</v>
      </c>
      <c r="L27" s="52" t="s">
        <v>164</v>
      </c>
      <c r="M27" s="4"/>
    </row>
    <row r="28" spans="1:13" ht="94.5" x14ac:dyDescent="0.2">
      <c r="A28" s="3" t="s">
        <v>142</v>
      </c>
      <c r="B28" s="10" t="s">
        <v>143</v>
      </c>
      <c r="C28" s="3" t="s">
        <v>118</v>
      </c>
      <c r="D28" s="3" t="s">
        <v>144</v>
      </c>
      <c r="E28" s="6">
        <v>3.125E-2</v>
      </c>
      <c r="F28" s="4">
        <v>120</v>
      </c>
      <c r="G28" s="6">
        <f>E28*F28</f>
        <v>3.75</v>
      </c>
      <c r="H28" s="4" t="s">
        <v>145</v>
      </c>
      <c r="I28" s="8" t="s">
        <v>61</v>
      </c>
      <c r="J28" s="6">
        <v>30</v>
      </c>
      <c r="K28" s="4" t="s">
        <v>161</v>
      </c>
      <c r="L28" s="4" t="s">
        <v>161</v>
      </c>
      <c r="M28" s="4" t="s">
        <v>190</v>
      </c>
    </row>
    <row r="29" spans="1:13" x14ac:dyDescent="0.2">
      <c r="J29" s="6">
        <f>SUM(Table1[Net Royalty Acres])</f>
        <v>399.90187999460147</v>
      </c>
      <c r="K29" s="4"/>
      <c r="L29" s="4"/>
      <c r="M29" s="4"/>
    </row>
    <row r="33" spans="10:11" x14ac:dyDescent="0.2">
      <c r="J33" s="41">
        <f>SUM(J6:J16)</f>
        <v>37.395837267333334</v>
      </c>
      <c r="K33" s="39" t="s">
        <v>186</v>
      </c>
    </row>
    <row r="34" spans="10:11" x14ac:dyDescent="0.2">
      <c r="J34" s="41">
        <f>SUM(J17:J25)</f>
        <v>282.6622927272681</v>
      </c>
      <c r="K34" s="39" t="s">
        <v>187</v>
      </c>
    </row>
    <row r="35" spans="10:11" x14ac:dyDescent="0.2">
      <c r="J35" s="41">
        <f>SUM(J26:J27)</f>
        <v>49.84375</v>
      </c>
      <c r="K35" s="39" t="s">
        <v>188</v>
      </c>
    </row>
    <row r="36" spans="10:11" x14ac:dyDescent="0.2">
      <c r="J36" s="42">
        <f>J28</f>
        <v>30</v>
      </c>
      <c r="K36" s="43" t="s">
        <v>189</v>
      </c>
    </row>
    <row r="37" spans="10:11" x14ac:dyDescent="0.2">
      <c r="J37" s="41">
        <f>Table1[[#Totals],[Net Royalty Acres]]</f>
        <v>399.90187999460147</v>
      </c>
      <c r="K37" s="38" t="s">
        <v>185</v>
      </c>
    </row>
    <row r="38" spans="10:11" x14ac:dyDescent="0.2">
      <c r="J38" s="40"/>
      <c r="K38" s="39"/>
    </row>
  </sheetData>
  <mergeCells count="1">
    <mergeCell ref="A1:E4"/>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A0666-8402-1A44-B09C-AA88C044EAB1}">
  <dimension ref="A1:O149"/>
  <sheetViews>
    <sheetView zoomScale="85" zoomScaleNormal="85" workbookViewId="0">
      <pane ySplit="6" topLeftCell="A13" activePane="bottomLeft" state="frozen"/>
      <selection activeCell="D1" sqref="D1"/>
      <selection pane="bottomLeft" activeCell="H32" sqref="H32"/>
    </sheetView>
  </sheetViews>
  <sheetFormatPr defaultColWidth="9.140625" defaultRowHeight="15" x14ac:dyDescent="0.2"/>
  <cols>
    <col min="1" max="1" width="81.7109375" style="11" bestFit="1" customWidth="1"/>
    <col min="2" max="2" width="31.42578125" style="11" customWidth="1"/>
    <col min="3" max="3" width="18.28515625" style="11" customWidth="1"/>
    <col min="4" max="4" width="11.42578125" style="11" bestFit="1" customWidth="1"/>
    <col min="5" max="5" width="24.42578125" style="11" bestFit="1" customWidth="1"/>
    <col min="6" max="6" width="13.7109375" style="11" customWidth="1"/>
    <col min="7" max="8" width="13.5703125" style="12" bestFit="1" customWidth="1"/>
    <col min="9" max="9" width="21.42578125" style="13" bestFit="1" customWidth="1"/>
    <col min="10" max="10" width="21.42578125" style="13" customWidth="1"/>
    <col min="11" max="11" width="12" style="14" customWidth="1"/>
    <col min="12" max="12" width="14.5703125" style="14" bestFit="1" customWidth="1"/>
    <col min="13" max="13" width="15.5703125" style="14" bestFit="1" customWidth="1"/>
    <col min="14" max="14" width="11.42578125" style="14" bestFit="1" customWidth="1"/>
    <col min="15" max="15" width="64.28515625" style="11" bestFit="1" customWidth="1"/>
    <col min="16" max="16384" width="9.140625" style="11"/>
  </cols>
  <sheetData>
    <row r="1" spans="1:15" x14ac:dyDescent="0.2">
      <c r="A1" s="45" t="s">
        <v>107</v>
      </c>
      <c r="B1" s="45"/>
      <c r="C1" s="45"/>
      <c r="D1" s="45"/>
      <c r="E1" s="45"/>
    </row>
    <row r="2" spans="1:15" x14ac:dyDescent="0.2">
      <c r="A2" s="45"/>
      <c r="B2" s="45"/>
      <c r="C2" s="45"/>
      <c r="D2" s="45"/>
      <c r="E2" s="45"/>
    </row>
    <row r="3" spans="1:15" x14ac:dyDescent="0.2">
      <c r="A3" s="45"/>
      <c r="B3" s="45"/>
      <c r="C3" s="45"/>
      <c r="D3" s="45"/>
      <c r="E3" s="45"/>
    </row>
    <row r="4" spans="1:15" x14ac:dyDescent="0.2">
      <c r="A4" s="45"/>
      <c r="B4" s="45"/>
      <c r="C4" s="45"/>
      <c r="D4" s="45"/>
      <c r="E4" s="45"/>
    </row>
    <row r="5" spans="1:15" x14ac:dyDescent="0.2">
      <c r="A5" s="46"/>
      <c r="B5" s="46"/>
      <c r="C5" s="46"/>
      <c r="D5" s="46"/>
      <c r="E5" s="46"/>
    </row>
    <row r="6" spans="1:15" s="15" customFormat="1" x14ac:dyDescent="0.2">
      <c r="A6" s="47" t="s">
        <v>53</v>
      </c>
      <c r="B6" s="48"/>
      <c r="C6" s="48"/>
      <c r="D6" s="48"/>
      <c r="E6" s="48"/>
      <c r="F6" s="48"/>
      <c r="G6" s="48"/>
      <c r="H6" s="48"/>
      <c r="I6" s="48"/>
      <c r="J6" s="48"/>
      <c r="K6" s="48"/>
      <c r="L6" s="48"/>
      <c r="M6" s="48"/>
      <c r="N6" s="48"/>
      <c r="O6" s="48"/>
    </row>
    <row r="7" spans="1:15" x14ac:dyDescent="0.2">
      <c r="A7" s="16" t="s">
        <v>13</v>
      </c>
      <c r="B7" s="16" t="s">
        <v>7</v>
      </c>
      <c r="C7" s="16" t="s">
        <v>0</v>
      </c>
      <c r="D7" s="16" t="s">
        <v>1</v>
      </c>
      <c r="E7" s="17" t="s">
        <v>9</v>
      </c>
      <c r="F7" s="17" t="s">
        <v>2</v>
      </c>
      <c r="G7" s="18" t="s">
        <v>3</v>
      </c>
      <c r="H7" s="18" t="s">
        <v>8</v>
      </c>
      <c r="I7" s="19" t="s">
        <v>4</v>
      </c>
      <c r="J7" s="19" t="s">
        <v>60</v>
      </c>
      <c r="K7" s="20" t="s">
        <v>5</v>
      </c>
      <c r="L7" s="21" t="s">
        <v>10</v>
      </c>
      <c r="M7" s="21" t="s">
        <v>12</v>
      </c>
      <c r="N7" s="21" t="s">
        <v>11</v>
      </c>
      <c r="O7" s="22" t="s">
        <v>6</v>
      </c>
    </row>
    <row r="8" spans="1:15" x14ac:dyDescent="0.2">
      <c r="A8" s="23" t="s">
        <v>14</v>
      </c>
      <c r="B8" s="24" t="s">
        <v>15</v>
      </c>
      <c r="C8" s="25" t="s">
        <v>16</v>
      </c>
      <c r="D8" s="25">
        <v>648.34</v>
      </c>
      <c r="E8" s="26">
        <v>80</v>
      </c>
      <c r="F8" s="13">
        <v>0.25</v>
      </c>
      <c r="G8" s="27">
        <f>F8*E8</f>
        <v>20</v>
      </c>
      <c r="H8" s="27">
        <f>G8*8*I8</f>
        <v>40</v>
      </c>
      <c r="I8" s="28">
        <f>1/4</f>
        <v>0.25</v>
      </c>
      <c r="J8" s="28" t="s">
        <v>61</v>
      </c>
      <c r="K8" s="27">
        <f>(G8/D8)*I8</f>
        <v>7.7120029614091371E-3</v>
      </c>
      <c r="L8" s="29">
        <v>7.8170800000000006E-3</v>
      </c>
      <c r="M8" s="29">
        <f>L8*D8*8</f>
        <v>40.545005177600004</v>
      </c>
      <c r="N8" s="30">
        <f>L8-K8</f>
        <v>1.0507703859086344E-4</v>
      </c>
      <c r="O8" s="31"/>
    </row>
    <row r="9" spans="1:15" x14ac:dyDescent="0.2">
      <c r="A9" s="23"/>
      <c r="B9" s="25"/>
      <c r="C9" s="25"/>
      <c r="D9" s="25"/>
      <c r="E9" s="32"/>
      <c r="F9" s="33"/>
      <c r="G9" s="34">
        <f>SUM(G8:G8)</f>
        <v>20</v>
      </c>
      <c r="H9" s="34">
        <f>SUM(H8:H8)</f>
        <v>40</v>
      </c>
      <c r="I9" s="25"/>
      <c r="J9" s="25"/>
      <c r="K9" s="34">
        <f>SUM(K8:K8)</f>
        <v>7.7120029614091371E-3</v>
      </c>
      <c r="L9" s="34">
        <f>SUM(L8:L8)</f>
        <v>7.8170800000000006E-3</v>
      </c>
      <c r="M9" s="34">
        <f>SUM(M8:M8)</f>
        <v>40.545005177600004</v>
      </c>
      <c r="N9" s="30">
        <f>SUM(N8:N8)</f>
        <v>1.0507703859086344E-4</v>
      </c>
      <c r="O9" s="35"/>
    </row>
    <row r="10" spans="1:15" s="15" customFormat="1" x14ac:dyDescent="0.2">
      <c r="A10" s="47" t="s">
        <v>54</v>
      </c>
      <c r="B10" s="48"/>
      <c r="C10" s="48"/>
      <c r="D10" s="48"/>
      <c r="E10" s="48"/>
      <c r="F10" s="48"/>
      <c r="G10" s="48"/>
      <c r="H10" s="48"/>
      <c r="I10" s="48"/>
      <c r="J10" s="48"/>
      <c r="K10" s="48"/>
      <c r="L10" s="48"/>
      <c r="M10" s="48"/>
      <c r="N10" s="48"/>
      <c r="O10" s="48"/>
    </row>
    <row r="11" spans="1:15" x14ac:dyDescent="0.2">
      <c r="A11" s="16" t="s">
        <v>17</v>
      </c>
      <c r="B11" s="16" t="s">
        <v>7</v>
      </c>
      <c r="C11" s="16" t="s">
        <v>0</v>
      </c>
      <c r="D11" s="16" t="s">
        <v>1</v>
      </c>
      <c r="E11" s="17" t="s">
        <v>9</v>
      </c>
      <c r="F11" s="17" t="s">
        <v>2</v>
      </c>
      <c r="G11" s="18" t="s">
        <v>3</v>
      </c>
      <c r="H11" s="18" t="s">
        <v>8</v>
      </c>
      <c r="I11" s="19" t="s">
        <v>20</v>
      </c>
      <c r="J11" s="19" t="s">
        <v>60</v>
      </c>
      <c r="K11" s="20" t="s">
        <v>5</v>
      </c>
      <c r="L11" s="21" t="s">
        <v>10</v>
      </c>
      <c r="M11" s="21" t="s">
        <v>12</v>
      </c>
      <c r="N11" s="21" t="s">
        <v>11</v>
      </c>
      <c r="O11" s="22" t="s">
        <v>6</v>
      </c>
    </row>
    <row r="12" spans="1:15" x14ac:dyDescent="0.2">
      <c r="A12" s="23" t="s">
        <v>18</v>
      </c>
      <c r="B12" s="24" t="s">
        <v>15</v>
      </c>
      <c r="C12" s="25" t="s">
        <v>19</v>
      </c>
      <c r="D12" s="25">
        <v>640</v>
      </c>
      <c r="E12" s="26">
        <v>78.75</v>
      </c>
      <c r="F12" s="13">
        <f>1/64</f>
        <v>1.5625E-2</v>
      </c>
      <c r="G12" s="27">
        <f>F12*E12</f>
        <v>1.23046875</v>
      </c>
      <c r="H12" s="27">
        <f>G12*8*I12</f>
        <v>9.84375</v>
      </c>
      <c r="I12" s="28">
        <v>1</v>
      </c>
      <c r="J12" s="28" t="s">
        <v>61</v>
      </c>
      <c r="K12" s="27">
        <f>(G12/D12)*I12</f>
        <v>1.922607421875E-3</v>
      </c>
      <c r="L12" s="29">
        <v>1.8973200000000001E-3</v>
      </c>
      <c r="M12" s="29">
        <f>L12*D12*8</f>
        <v>9.7142784000000013</v>
      </c>
      <c r="N12" s="30">
        <f>L12-K12</f>
        <v>-2.5287421874999917E-5</v>
      </c>
      <c r="O12" s="31"/>
    </row>
    <row r="13" spans="1:15" x14ac:dyDescent="0.2">
      <c r="A13" s="23"/>
      <c r="B13" s="25"/>
      <c r="C13" s="25"/>
      <c r="D13" s="25"/>
      <c r="E13" s="32"/>
      <c r="F13" s="33"/>
      <c r="G13" s="34">
        <f>SUM(G12:G12)</f>
        <v>1.23046875</v>
      </c>
      <c r="H13" s="34">
        <f>SUM(H12:H12)</f>
        <v>9.84375</v>
      </c>
      <c r="I13" s="25"/>
      <c r="J13" s="25"/>
      <c r="K13" s="34">
        <f>SUM(K12:K12)</f>
        <v>1.922607421875E-3</v>
      </c>
      <c r="L13" s="34">
        <f>SUM(L12:L12)</f>
        <v>1.8973200000000001E-3</v>
      </c>
      <c r="M13" s="34">
        <f>SUM(M12:M12)</f>
        <v>9.7142784000000013</v>
      </c>
      <c r="N13" s="30">
        <f>SUM(N12:N12)</f>
        <v>-2.5287421874999917E-5</v>
      </c>
      <c r="O13" s="35"/>
    </row>
    <row r="14" spans="1:15" s="15" customFormat="1" x14ac:dyDescent="0.2">
      <c r="A14" s="47" t="s">
        <v>51</v>
      </c>
      <c r="B14" s="48"/>
      <c r="C14" s="48"/>
      <c r="D14" s="48"/>
      <c r="E14" s="48"/>
      <c r="F14" s="48"/>
      <c r="G14" s="48"/>
      <c r="H14" s="48"/>
      <c r="I14" s="48"/>
      <c r="J14" s="48"/>
      <c r="K14" s="48"/>
      <c r="L14" s="48"/>
      <c r="M14" s="48"/>
      <c r="N14" s="48"/>
      <c r="O14" s="48"/>
    </row>
    <row r="15" spans="1:15" x14ac:dyDescent="0.2">
      <c r="A15" s="16" t="s">
        <v>21</v>
      </c>
      <c r="B15" s="16" t="s">
        <v>7</v>
      </c>
      <c r="C15" s="16" t="s">
        <v>0</v>
      </c>
      <c r="D15" s="16" t="s">
        <v>1</v>
      </c>
      <c r="E15" s="17" t="s">
        <v>9</v>
      </c>
      <c r="F15" s="17" t="s">
        <v>2</v>
      </c>
      <c r="G15" s="18" t="s">
        <v>3</v>
      </c>
      <c r="H15" s="18" t="s">
        <v>8</v>
      </c>
      <c r="I15" s="19" t="s">
        <v>4</v>
      </c>
      <c r="J15" s="19" t="s">
        <v>60</v>
      </c>
      <c r="K15" s="20" t="s">
        <v>5</v>
      </c>
      <c r="L15" s="21" t="s">
        <v>10</v>
      </c>
      <c r="M15" s="21" t="s">
        <v>12</v>
      </c>
      <c r="N15" s="21" t="s">
        <v>11</v>
      </c>
      <c r="O15" s="22" t="s">
        <v>6</v>
      </c>
    </row>
    <row r="16" spans="1:15" ht="30" x14ac:dyDescent="0.2">
      <c r="A16" s="23" t="s">
        <v>22</v>
      </c>
      <c r="B16" s="24" t="s">
        <v>15</v>
      </c>
      <c r="C16" s="25" t="s">
        <v>23</v>
      </c>
      <c r="D16" s="25">
        <v>647.97080000000005</v>
      </c>
      <c r="E16" s="26">
        <v>23.400400000000001</v>
      </c>
      <c r="F16" s="13">
        <v>4.54545454545454E-2</v>
      </c>
      <c r="G16" s="27">
        <f>F16*E16</f>
        <v>1.0636545454545443</v>
      </c>
      <c r="H16" s="27">
        <f>G16*8*I16</f>
        <v>2.1273090909090886</v>
      </c>
      <c r="I16" s="28">
        <v>0.25</v>
      </c>
      <c r="J16" s="28" t="s">
        <v>61</v>
      </c>
      <c r="K16" s="27">
        <f>(G16/D16)*I16</f>
        <v>4.103790423328274E-4</v>
      </c>
      <c r="L16" s="29">
        <v>4.5386999999999999E-4</v>
      </c>
      <c r="M16" s="29">
        <f>L16*D16*8</f>
        <v>2.3527560559680003</v>
      </c>
      <c r="N16" s="30">
        <f>L16-K16</f>
        <v>4.3490957667172592E-5</v>
      </c>
      <c r="O16" s="36" t="s">
        <v>25</v>
      </c>
    </row>
    <row r="17" spans="1:15" x14ac:dyDescent="0.2">
      <c r="A17" s="23"/>
      <c r="B17" s="25"/>
      <c r="C17" s="25"/>
      <c r="D17" s="25"/>
      <c r="E17" s="32"/>
      <c r="F17" s="33"/>
      <c r="G17" s="34">
        <f>SUM(G16:G16)</f>
        <v>1.0636545454545443</v>
      </c>
      <c r="H17" s="34">
        <f>SUM(H16:H16)</f>
        <v>2.1273090909090886</v>
      </c>
      <c r="I17" s="25"/>
      <c r="J17" s="25"/>
      <c r="K17" s="34">
        <f>SUM(K16:K16)</f>
        <v>4.103790423328274E-4</v>
      </c>
      <c r="L17" s="34">
        <f>SUM(L16:L16)</f>
        <v>4.5386999999999999E-4</v>
      </c>
      <c r="M17" s="34">
        <f>SUM(M16:M16)</f>
        <v>2.3527560559680003</v>
      </c>
      <c r="N17" s="30">
        <f>SUM(N16:N16)</f>
        <v>4.3490957667172592E-5</v>
      </c>
      <c r="O17" s="35"/>
    </row>
    <row r="18" spans="1:15" s="15" customFormat="1" x14ac:dyDescent="0.2">
      <c r="A18" s="47" t="s">
        <v>52</v>
      </c>
      <c r="B18" s="48"/>
      <c r="C18" s="48"/>
      <c r="D18" s="48"/>
      <c r="E18" s="48"/>
      <c r="F18" s="48"/>
      <c r="G18" s="48"/>
      <c r="H18" s="48"/>
      <c r="I18" s="48"/>
      <c r="J18" s="48"/>
      <c r="K18" s="48"/>
      <c r="L18" s="48"/>
      <c r="M18" s="48"/>
      <c r="N18" s="48"/>
      <c r="O18" s="48"/>
    </row>
    <row r="19" spans="1:15" x14ac:dyDescent="0.2">
      <c r="A19" s="16" t="s">
        <v>21</v>
      </c>
      <c r="B19" s="16" t="s">
        <v>7</v>
      </c>
      <c r="C19" s="16" t="s">
        <v>0</v>
      </c>
      <c r="D19" s="16" t="s">
        <v>1</v>
      </c>
      <c r="E19" s="17" t="s">
        <v>9</v>
      </c>
      <c r="F19" s="17" t="s">
        <v>2</v>
      </c>
      <c r="G19" s="18" t="s">
        <v>3</v>
      </c>
      <c r="H19" s="18" t="s">
        <v>8</v>
      </c>
      <c r="I19" s="19" t="s">
        <v>4</v>
      </c>
      <c r="J19" s="19" t="s">
        <v>60</v>
      </c>
      <c r="K19" s="20" t="s">
        <v>5</v>
      </c>
      <c r="L19" s="21" t="s">
        <v>10</v>
      </c>
      <c r="M19" s="21" t="s">
        <v>12</v>
      </c>
      <c r="N19" s="21" t="s">
        <v>11</v>
      </c>
      <c r="O19" s="22" t="s">
        <v>6</v>
      </c>
    </row>
    <row r="20" spans="1:15" ht="30" x14ac:dyDescent="0.2">
      <c r="A20" s="23" t="s">
        <v>22</v>
      </c>
      <c r="B20" s="24" t="s">
        <v>15</v>
      </c>
      <c r="C20" s="25" t="s">
        <v>24</v>
      </c>
      <c r="D20" s="25">
        <v>1283.2828</v>
      </c>
      <c r="E20" s="26">
        <v>23.400400000000001</v>
      </c>
      <c r="F20" s="13">
        <v>4.54545454545454E-2</v>
      </c>
      <c r="G20" s="27">
        <f>F20*E20</f>
        <v>1.0636545454545443</v>
      </c>
      <c r="H20" s="27">
        <f>G20*8*I20</f>
        <v>2.1273090909090886</v>
      </c>
      <c r="I20" s="28">
        <v>0.25</v>
      </c>
      <c r="J20" s="28" t="s">
        <v>61</v>
      </c>
      <c r="K20" s="27">
        <f>(G20/D20)*I20</f>
        <v>2.0721359030420738E-4</v>
      </c>
      <c r="L20" s="29">
        <v>2.2275999999999999E-4</v>
      </c>
      <c r="M20" s="29">
        <f>L20*D20*8</f>
        <v>2.286912612224</v>
      </c>
      <c r="N20" s="30">
        <f>L20-K20</f>
        <v>1.5546409695792608E-5</v>
      </c>
      <c r="O20" s="36" t="s">
        <v>25</v>
      </c>
    </row>
    <row r="21" spans="1:15" x14ac:dyDescent="0.2">
      <c r="A21" s="23"/>
      <c r="B21" s="25"/>
      <c r="C21" s="25"/>
      <c r="D21" s="25"/>
      <c r="E21" s="32"/>
      <c r="F21" s="33"/>
      <c r="G21" s="34">
        <f>SUM(G20:G20)</f>
        <v>1.0636545454545443</v>
      </c>
      <c r="H21" s="34">
        <f>SUM(H20:H20)</f>
        <v>2.1273090909090886</v>
      </c>
      <c r="I21" s="25"/>
      <c r="J21" s="25"/>
      <c r="K21" s="34">
        <f>SUM(K20:K20)</f>
        <v>2.0721359030420738E-4</v>
      </c>
      <c r="L21" s="34">
        <f>SUM(L20:L20)</f>
        <v>2.2275999999999999E-4</v>
      </c>
      <c r="M21" s="34">
        <f>SUM(M20:M20)</f>
        <v>2.286912612224</v>
      </c>
      <c r="N21" s="30">
        <f>SUM(N20:N20)</f>
        <v>1.5546409695792608E-5</v>
      </c>
      <c r="O21" s="35"/>
    </row>
    <row r="22" spans="1:15" s="15" customFormat="1" x14ac:dyDescent="0.2">
      <c r="A22" s="47" t="s">
        <v>56</v>
      </c>
      <c r="B22" s="48"/>
      <c r="C22" s="48"/>
      <c r="D22" s="48"/>
      <c r="E22" s="48"/>
      <c r="F22" s="48"/>
      <c r="G22" s="48"/>
      <c r="H22" s="48"/>
      <c r="I22" s="48"/>
      <c r="J22" s="48"/>
      <c r="K22" s="48"/>
      <c r="L22" s="48"/>
      <c r="M22" s="48"/>
      <c r="N22" s="48"/>
      <c r="O22" s="48"/>
    </row>
    <row r="23" spans="1:15" x14ac:dyDescent="0.2">
      <c r="A23" s="16" t="s">
        <v>26</v>
      </c>
      <c r="B23" s="16" t="s">
        <v>7</v>
      </c>
      <c r="C23" s="16" t="s">
        <v>0</v>
      </c>
      <c r="D23" s="16" t="s">
        <v>1</v>
      </c>
      <c r="E23" s="17" t="s">
        <v>9</v>
      </c>
      <c r="F23" s="17" t="s">
        <v>2</v>
      </c>
      <c r="G23" s="18" t="s">
        <v>3</v>
      </c>
      <c r="H23" s="18" t="s">
        <v>8</v>
      </c>
      <c r="I23" s="19" t="s">
        <v>4</v>
      </c>
      <c r="J23" s="19" t="s">
        <v>60</v>
      </c>
      <c r="K23" s="20" t="s">
        <v>5</v>
      </c>
      <c r="L23" s="21" t="s">
        <v>10</v>
      </c>
      <c r="M23" s="21" t="s">
        <v>12</v>
      </c>
      <c r="N23" s="21" t="s">
        <v>11</v>
      </c>
      <c r="O23" s="22" t="s">
        <v>6</v>
      </c>
    </row>
    <row r="24" spans="1:15" x14ac:dyDescent="0.2">
      <c r="A24" s="23" t="s">
        <v>27</v>
      </c>
      <c r="B24" s="24" t="s">
        <v>15</v>
      </c>
      <c r="C24" s="25" t="s">
        <v>28</v>
      </c>
      <c r="D24" s="25">
        <v>523.70000000000005</v>
      </c>
      <c r="E24" s="26">
        <v>80.09</v>
      </c>
      <c r="F24" s="13">
        <f>1/8</f>
        <v>0.125</v>
      </c>
      <c r="G24" s="27">
        <f>F24*E24</f>
        <v>10.01125</v>
      </c>
      <c r="H24" s="27">
        <f>G24*8*I24</f>
        <v>20.022500000000001</v>
      </c>
      <c r="I24" s="28">
        <v>0.25</v>
      </c>
      <c r="J24" s="28" t="s">
        <v>61</v>
      </c>
      <c r="K24" s="27">
        <f>(G24/D24)*I24</f>
        <v>4.7790958564063396E-3</v>
      </c>
      <c r="L24" s="29">
        <v>4.7790999999999997E-3</v>
      </c>
      <c r="M24" s="29">
        <f>L24*D24*8</f>
        <v>20.022517360000002</v>
      </c>
      <c r="N24" s="30">
        <f>L24-K24</f>
        <v>4.1435936600289769E-9</v>
      </c>
      <c r="O24" s="36"/>
    </row>
    <row r="25" spans="1:15" x14ac:dyDescent="0.2">
      <c r="A25" s="23"/>
      <c r="B25" s="25"/>
      <c r="C25" s="25"/>
      <c r="D25" s="25"/>
      <c r="E25" s="32"/>
      <c r="F25" s="33"/>
      <c r="G25" s="34">
        <f>SUM(G24:G24)</f>
        <v>10.01125</v>
      </c>
      <c r="H25" s="34">
        <f>SUM(H24:H24)</f>
        <v>20.022500000000001</v>
      </c>
      <c r="I25" s="25"/>
      <c r="J25" s="25"/>
      <c r="K25" s="34">
        <f>SUM(K24:K24)</f>
        <v>4.7790958564063396E-3</v>
      </c>
      <c r="L25" s="34">
        <f>SUM(L24:L24)</f>
        <v>4.7790999999999997E-3</v>
      </c>
      <c r="M25" s="34">
        <f>SUM(M24:M24)</f>
        <v>20.022517360000002</v>
      </c>
      <c r="N25" s="30">
        <f>SUM(N24:N24)</f>
        <v>4.1435936600289769E-9</v>
      </c>
      <c r="O25" s="35"/>
    </row>
    <row r="26" spans="1:15" s="15" customFormat="1" x14ac:dyDescent="0.2">
      <c r="A26" s="47" t="s">
        <v>179</v>
      </c>
      <c r="B26" s="48"/>
      <c r="C26" s="48"/>
      <c r="D26" s="48"/>
      <c r="E26" s="48"/>
      <c r="F26" s="48"/>
      <c r="G26" s="48"/>
      <c r="H26" s="48"/>
      <c r="I26" s="48"/>
      <c r="J26" s="48"/>
      <c r="K26" s="48"/>
      <c r="L26" s="48"/>
      <c r="M26" s="48"/>
      <c r="N26" s="48"/>
      <c r="O26" s="48"/>
    </row>
    <row r="27" spans="1:15" x14ac:dyDescent="0.2">
      <c r="A27" s="16" t="s">
        <v>175</v>
      </c>
      <c r="B27" s="16" t="s">
        <v>7</v>
      </c>
      <c r="C27" s="16" t="s">
        <v>0</v>
      </c>
      <c r="D27" s="16" t="s">
        <v>1</v>
      </c>
      <c r="E27" s="17" t="s">
        <v>9</v>
      </c>
      <c r="F27" s="17" t="s">
        <v>2</v>
      </c>
      <c r="G27" s="18" t="s">
        <v>3</v>
      </c>
      <c r="H27" s="18" t="s">
        <v>8</v>
      </c>
      <c r="I27" s="19" t="s">
        <v>4</v>
      </c>
      <c r="J27" s="19" t="s">
        <v>60</v>
      </c>
      <c r="K27" s="20" t="s">
        <v>5</v>
      </c>
      <c r="L27" s="21" t="s">
        <v>10</v>
      </c>
      <c r="M27" s="21" t="s">
        <v>12</v>
      </c>
      <c r="N27" s="21" t="s">
        <v>11</v>
      </c>
      <c r="O27" s="22" t="s">
        <v>6</v>
      </c>
    </row>
    <row r="28" spans="1:15" ht="30" x14ac:dyDescent="0.2">
      <c r="A28" s="23" t="s">
        <v>176</v>
      </c>
      <c r="B28" s="24" t="s">
        <v>15</v>
      </c>
      <c r="C28" s="25" t="s">
        <v>180</v>
      </c>
      <c r="D28" s="25">
        <v>637.90200000000004</v>
      </c>
      <c r="E28" s="26">
        <v>318.952</v>
      </c>
      <c r="F28" s="13">
        <v>6.25E-2</v>
      </c>
      <c r="G28" s="27">
        <f>F28*E28</f>
        <v>19.9345</v>
      </c>
      <c r="H28" s="27">
        <f>G28*8*I28</f>
        <v>39.869</v>
      </c>
      <c r="I28" s="28">
        <v>0.25</v>
      </c>
      <c r="J28" s="28" t="s">
        <v>61</v>
      </c>
      <c r="K28" s="27">
        <f>(G28/D28)*I28</f>
        <v>7.8125244943580661E-3</v>
      </c>
      <c r="L28" s="29" t="s">
        <v>181</v>
      </c>
      <c r="M28" s="29" t="s">
        <v>181</v>
      </c>
      <c r="N28" s="30" t="s">
        <v>181</v>
      </c>
      <c r="O28" s="36" t="s">
        <v>182</v>
      </c>
    </row>
    <row r="29" spans="1:15" x14ac:dyDescent="0.2">
      <c r="A29" s="23"/>
      <c r="B29" s="25"/>
      <c r="C29" s="25"/>
      <c r="D29" s="25"/>
      <c r="E29" s="32"/>
      <c r="F29" s="33"/>
      <c r="G29" s="34">
        <f>SUM(G28:G28)</f>
        <v>19.9345</v>
      </c>
      <c r="H29" s="34">
        <f>SUM(H28:H28)</f>
        <v>39.869</v>
      </c>
      <c r="I29" s="25"/>
      <c r="J29" s="25"/>
      <c r="K29" s="34">
        <f>SUM(K28:K28)</f>
        <v>7.8125244943580661E-3</v>
      </c>
      <c r="L29" s="34">
        <f>SUM(L28:L28)</f>
        <v>0</v>
      </c>
      <c r="M29" s="34">
        <f>SUM(M28:M28)</f>
        <v>0</v>
      </c>
      <c r="N29" s="30">
        <f>SUM(N28:N28)</f>
        <v>0</v>
      </c>
      <c r="O29" s="35"/>
    </row>
    <row r="30" spans="1:15" s="15" customFormat="1" x14ac:dyDescent="0.2">
      <c r="A30" s="47" t="s">
        <v>174</v>
      </c>
      <c r="B30" s="48"/>
      <c r="C30" s="48"/>
      <c r="D30" s="48"/>
      <c r="E30" s="48"/>
      <c r="F30" s="48"/>
      <c r="G30" s="48"/>
      <c r="H30" s="48"/>
      <c r="I30" s="48"/>
      <c r="J30" s="48"/>
      <c r="K30" s="48"/>
      <c r="L30" s="48"/>
      <c r="M30" s="48"/>
      <c r="N30" s="48"/>
      <c r="O30" s="48"/>
    </row>
    <row r="31" spans="1:15" x14ac:dyDescent="0.2">
      <c r="A31" s="16" t="s">
        <v>17</v>
      </c>
      <c r="B31" s="16" t="s">
        <v>7</v>
      </c>
      <c r="C31" s="16" t="s">
        <v>0</v>
      </c>
      <c r="D31" s="16" t="s">
        <v>1</v>
      </c>
      <c r="E31" s="17" t="s">
        <v>9</v>
      </c>
      <c r="F31" s="17" t="s">
        <v>2</v>
      </c>
      <c r="G31" s="18" t="s">
        <v>3</v>
      </c>
      <c r="H31" s="18" t="s">
        <v>8</v>
      </c>
      <c r="I31" s="19" t="s">
        <v>4</v>
      </c>
      <c r="J31" s="19" t="s">
        <v>60</v>
      </c>
      <c r="K31" s="20" t="s">
        <v>5</v>
      </c>
      <c r="L31" s="21" t="s">
        <v>10</v>
      </c>
      <c r="M31" s="21" t="s">
        <v>12</v>
      </c>
      <c r="N31" s="21" t="s">
        <v>11</v>
      </c>
      <c r="O31" s="22" t="s">
        <v>6</v>
      </c>
    </row>
    <row r="32" spans="1:15" ht="30" x14ac:dyDescent="0.2">
      <c r="A32" s="23" t="s">
        <v>176</v>
      </c>
      <c r="B32" s="24" t="s">
        <v>15</v>
      </c>
      <c r="C32" s="25" t="s">
        <v>177</v>
      </c>
      <c r="D32" s="25">
        <v>960</v>
      </c>
      <c r="E32" s="26">
        <v>185.47</v>
      </c>
      <c r="F32" s="13">
        <v>6.25E-2</v>
      </c>
      <c r="G32" s="27">
        <f>F32*E32</f>
        <v>11.591875</v>
      </c>
      <c r="H32" s="27">
        <f>G32*8*I32</f>
        <v>23.18375</v>
      </c>
      <c r="I32" s="28">
        <v>0.25</v>
      </c>
      <c r="J32" s="28">
        <f>2481/11367</f>
        <v>0.21826339403536554</v>
      </c>
      <c r="K32" s="27">
        <f>J32*F32*I32</f>
        <v>3.4103655318025866E-3</v>
      </c>
      <c r="L32" s="29">
        <v>3.4104000000000001E-3</v>
      </c>
      <c r="M32" s="29">
        <f>(L32*E32*8)/J32</f>
        <v>23.183984315666262</v>
      </c>
      <c r="N32" s="30">
        <f>L32-K32</f>
        <v>3.4468197413449475E-8</v>
      </c>
      <c r="O32" s="36" t="s">
        <v>178</v>
      </c>
    </row>
    <row r="33" spans="1:15" x14ac:dyDescent="0.2">
      <c r="A33" s="23"/>
      <c r="B33" s="25"/>
      <c r="C33" s="25"/>
      <c r="D33" s="25"/>
      <c r="E33" s="32"/>
      <c r="F33" s="33"/>
      <c r="G33" s="34">
        <f>SUM(G32:G32)</f>
        <v>11.591875</v>
      </c>
      <c r="H33" s="34">
        <f>SUM(H32:H32)</f>
        <v>23.18375</v>
      </c>
      <c r="I33" s="25"/>
      <c r="J33" s="25"/>
      <c r="K33" s="34">
        <f>SUM(K32:K32)</f>
        <v>3.4103655318025866E-3</v>
      </c>
      <c r="L33" s="34">
        <f>SUM(L32:L32)</f>
        <v>3.4104000000000001E-3</v>
      </c>
      <c r="M33" s="34">
        <f>SUM(M32:M32)</f>
        <v>23.183984315666262</v>
      </c>
      <c r="N33" s="30">
        <f>SUM(N32:N32)</f>
        <v>3.4468197413449475E-8</v>
      </c>
      <c r="O33" s="35"/>
    </row>
    <row r="34" spans="1:15" s="15" customFormat="1" x14ac:dyDescent="0.2">
      <c r="A34" s="47" t="s">
        <v>57</v>
      </c>
      <c r="B34" s="48"/>
      <c r="C34" s="48"/>
      <c r="D34" s="48"/>
      <c r="E34" s="48"/>
      <c r="F34" s="48"/>
      <c r="G34" s="48"/>
      <c r="H34" s="48"/>
      <c r="I34" s="48"/>
      <c r="J34" s="48"/>
      <c r="K34" s="48"/>
      <c r="L34" s="48"/>
      <c r="M34" s="48"/>
      <c r="N34" s="48"/>
      <c r="O34" s="48"/>
    </row>
    <row r="35" spans="1:15" x14ac:dyDescent="0.2">
      <c r="A35" s="16" t="s">
        <v>26</v>
      </c>
      <c r="B35" s="16" t="s">
        <v>7</v>
      </c>
      <c r="C35" s="16" t="s">
        <v>0</v>
      </c>
      <c r="D35" s="16" t="s">
        <v>1</v>
      </c>
      <c r="E35" s="17" t="s">
        <v>9</v>
      </c>
      <c r="F35" s="17" t="s">
        <v>2</v>
      </c>
      <c r="G35" s="18" t="s">
        <v>3</v>
      </c>
      <c r="H35" s="18" t="s">
        <v>8</v>
      </c>
      <c r="I35" s="19" t="s">
        <v>4</v>
      </c>
      <c r="J35" s="19" t="s">
        <v>60</v>
      </c>
      <c r="K35" s="20" t="s">
        <v>5</v>
      </c>
      <c r="L35" s="21" t="s">
        <v>10</v>
      </c>
      <c r="M35" s="21" t="s">
        <v>12</v>
      </c>
      <c r="N35" s="21" t="s">
        <v>11</v>
      </c>
      <c r="O35" s="22" t="s">
        <v>6</v>
      </c>
    </row>
    <row r="36" spans="1:15" x14ac:dyDescent="0.2">
      <c r="A36" s="23" t="s">
        <v>58</v>
      </c>
      <c r="B36" s="24" t="s">
        <v>15</v>
      </c>
      <c r="C36" s="25" t="s">
        <v>59</v>
      </c>
      <c r="D36" s="25">
        <v>1021.74</v>
      </c>
      <c r="E36" s="26">
        <v>185.47</v>
      </c>
      <c r="F36" s="13">
        <f>1/8</f>
        <v>0.125</v>
      </c>
      <c r="G36" s="27">
        <f>F36*E36</f>
        <v>23.18375</v>
      </c>
      <c r="H36" s="27">
        <f>G36*8*I36</f>
        <v>46.3675</v>
      </c>
      <c r="I36" s="28">
        <v>0.25</v>
      </c>
      <c r="J36" s="28">
        <f>3433.39/7039.27</f>
        <v>0.48774801932586753</v>
      </c>
      <c r="K36" s="27">
        <f>J36*F36*I36</f>
        <v>1.524212560393336E-2</v>
      </c>
      <c r="L36" s="29">
        <v>1.524213E-2</v>
      </c>
      <c r="M36" s="29">
        <f>(L36*E36*8)/J36</f>
        <v>46.367513373109844</v>
      </c>
      <c r="N36" s="30">
        <f>L36-K36</f>
        <v>4.3960666391840153E-9</v>
      </c>
      <c r="O36" s="36"/>
    </row>
    <row r="37" spans="1:15" x14ac:dyDescent="0.2">
      <c r="A37" s="23"/>
      <c r="B37" s="25"/>
      <c r="C37" s="25"/>
      <c r="D37" s="25"/>
      <c r="E37" s="32"/>
      <c r="F37" s="33"/>
      <c r="G37" s="34">
        <f>SUM(G36:G36)</f>
        <v>23.18375</v>
      </c>
      <c r="H37" s="34">
        <f>SUM(H36:H36)</f>
        <v>46.3675</v>
      </c>
      <c r="I37" s="25"/>
      <c r="J37" s="25"/>
      <c r="K37" s="34">
        <f>SUM(K36:K36)</f>
        <v>1.524212560393336E-2</v>
      </c>
      <c r="L37" s="34">
        <f>SUM(L36:L36)</f>
        <v>1.524213E-2</v>
      </c>
      <c r="M37" s="34">
        <f>SUM(M36:M36)</f>
        <v>46.367513373109844</v>
      </c>
      <c r="N37" s="30">
        <f>SUM(N36:N36)</f>
        <v>4.3960666391840153E-9</v>
      </c>
      <c r="O37" s="35"/>
    </row>
    <row r="38" spans="1:15" s="15" customFormat="1" x14ac:dyDescent="0.2">
      <c r="A38" s="47" t="s">
        <v>64</v>
      </c>
      <c r="B38" s="48"/>
      <c r="C38" s="48"/>
      <c r="D38" s="48"/>
      <c r="E38" s="48"/>
      <c r="F38" s="48"/>
      <c r="G38" s="48"/>
      <c r="H38" s="48"/>
      <c r="I38" s="48"/>
      <c r="J38" s="48"/>
      <c r="K38" s="48"/>
      <c r="L38" s="48"/>
      <c r="M38" s="48"/>
      <c r="N38" s="48"/>
      <c r="O38" s="48"/>
    </row>
    <row r="39" spans="1:15" x14ac:dyDescent="0.2">
      <c r="A39" s="16" t="s">
        <v>26</v>
      </c>
      <c r="B39" s="16" t="s">
        <v>7</v>
      </c>
      <c r="C39" s="16" t="s">
        <v>0</v>
      </c>
      <c r="D39" s="16" t="s">
        <v>1</v>
      </c>
      <c r="E39" s="17" t="s">
        <v>9</v>
      </c>
      <c r="F39" s="17" t="s">
        <v>2</v>
      </c>
      <c r="G39" s="18" t="s">
        <v>3</v>
      </c>
      <c r="H39" s="18" t="s">
        <v>8</v>
      </c>
      <c r="I39" s="19" t="s">
        <v>4</v>
      </c>
      <c r="J39" s="19" t="s">
        <v>60</v>
      </c>
      <c r="K39" s="20" t="s">
        <v>5</v>
      </c>
      <c r="L39" s="21" t="s">
        <v>10</v>
      </c>
      <c r="M39" s="21" t="s">
        <v>12</v>
      </c>
      <c r="N39" s="21" t="s">
        <v>11</v>
      </c>
      <c r="O39" s="22" t="s">
        <v>6</v>
      </c>
    </row>
    <row r="40" spans="1:15" x14ac:dyDescent="0.2">
      <c r="A40" s="23" t="s">
        <v>58</v>
      </c>
      <c r="B40" s="24" t="s">
        <v>15</v>
      </c>
      <c r="C40" s="25" t="s">
        <v>65</v>
      </c>
      <c r="D40" s="25">
        <v>1021.74</v>
      </c>
      <c r="E40" s="26">
        <v>185.47</v>
      </c>
      <c r="F40" s="13">
        <f>1/8</f>
        <v>0.125</v>
      </c>
      <c r="G40" s="27">
        <f>F40*E40</f>
        <v>23.18375</v>
      </c>
      <c r="H40" s="27">
        <f>G40*8*I40</f>
        <v>46.3675</v>
      </c>
      <c r="I40" s="28">
        <v>0.25</v>
      </c>
      <c r="J40" s="28">
        <f>3434.15/7068.16</f>
        <v>0.48586194992756249</v>
      </c>
      <c r="K40" s="27">
        <f>J40*F40*I40</f>
        <v>1.5183185935236328E-2</v>
      </c>
      <c r="L40" s="29">
        <v>1.5183189999999999E-2</v>
      </c>
      <c r="M40" s="29">
        <f>(L40*E40*8)/J40</f>
        <v>46.367512413266248</v>
      </c>
      <c r="N40" s="30">
        <f>L40-K40</f>
        <v>4.0647636714852275E-9</v>
      </c>
      <c r="O40" s="36"/>
    </row>
    <row r="41" spans="1:15" x14ac:dyDescent="0.2">
      <c r="A41" s="23"/>
      <c r="B41" s="25"/>
      <c r="C41" s="25"/>
      <c r="D41" s="25"/>
      <c r="E41" s="32"/>
      <c r="F41" s="33"/>
      <c r="G41" s="34">
        <f>SUM(G40:G40)</f>
        <v>23.18375</v>
      </c>
      <c r="H41" s="34">
        <f>SUM(H40:H40)</f>
        <v>46.3675</v>
      </c>
      <c r="I41" s="25"/>
      <c r="J41" s="25"/>
      <c r="K41" s="34">
        <f>SUM(K40:K40)</f>
        <v>1.5183185935236328E-2</v>
      </c>
      <c r="L41" s="34">
        <f>SUM(L40:L40)</f>
        <v>1.5183189999999999E-2</v>
      </c>
      <c r="M41" s="34">
        <f>SUM(M40:M40)</f>
        <v>46.367512413266248</v>
      </c>
      <c r="N41" s="30">
        <f>SUM(N40:N40)</f>
        <v>4.0647636714852275E-9</v>
      </c>
      <c r="O41" s="35"/>
    </row>
    <row r="42" spans="1:15" s="15" customFormat="1" x14ac:dyDescent="0.2">
      <c r="A42" s="47" t="s">
        <v>62</v>
      </c>
      <c r="B42" s="48"/>
      <c r="C42" s="48"/>
      <c r="D42" s="48"/>
      <c r="E42" s="48"/>
      <c r="F42" s="48"/>
      <c r="G42" s="48"/>
      <c r="H42" s="48"/>
      <c r="I42" s="48"/>
      <c r="J42" s="48"/>
      <c r="K42" s="48"/>
      <c r="L42" s="48"/>
      <c r="M42" s="48"/>
      <c r="N42" s="48"/>
      <c r="O42" s="48"/>
    </row>
    <row r="43" spans="1:15" x14ac:dyDescent="0.2">
      <c r="A43" s="16" t="s">
        <v>26</v>
      </c>
      <c r="B43" s="16" t="s">
        <v>7</v>
      </c>
      <c r="C43" s="16" t="s">
        <v>0</v>
      </c>
      <c r="D43" s="16" t="s">
        <v>1</v>
      </c>
      <c r="E43" s="17" t="s">
        <v>9</v>
      </c>
      <c r="F43" s="17" t="s">
        <v>2</v>
      </c>
      <c r="G43" s="18" t="s">
        <v>3</v>
      </c>
      <c r="H43" s="18" t="s">
        <v>8</v>
      </c>
      <c r="I43" s="19" t="s">
        <v>4</v>
      </c>
      <c r="J43" s="19" t="s">
        <v>60</v>
      </c>
      <c r="K43" s="20" t="s">
        <v>5</v>
      </c>
      <c r="L43" s="21" t="s">
        <v>10</v>
      </c>
      <c r="M43" s="21" t="s">
        <v>12</v>
      </c>
      <c r="N43" s="21" t="s">
        <v>11</v>
      </c>
      <c r="O43" s="22" t="s">
        <v>6</v>
      </c>
    </row>
    <row r="44" spans="1:15" x14ac:dyDescent="0.2">
      <c r="A44" s="23" t="s">
        <v>58</v>
      </c>
      <c r="B44" s="24" t="s">
        <v>15</v>
      </c>
      <c r="C44" s="25" t="s">
        <v>63</v>
      </c>
      <c r="D44" s="25">
        <v>285.47000000000003</v>
      </c>
      <c r="E44" s="26">
        <v>185.47</v>
      </c>
      <c r="F44" s="13">
        <f>1/8</f>
        <v>0.125</v>
      </c>
      <c r="G44" s="27">
        <f>F44*E44</f>
        <v>23.18375</v>
      </c>
      <c r="H44" s="27">
        <f>G44*8*I44</f>
        <v>46.3675</v>
      </c>
      <c r="I44" s="28">
        <v>0.25</v>
      </c>
      <c r="J44" s="28">
        <f>3217.71/4147.63</f>
        <v>0.77579485151761363</v>
      </c>
      <c r="K44" s="27">
        <f>J44*F44*I44</f>
        <v>2.4243589109925426E-2</v>
      </c>
      <c r="L44" s="29">
        <v>2.4243589999999999E-2</v>
      </c>
      <c r="M44" s="29">
        <f>(L44*E44*8)/J44</f>
        <v>46.367501702327679</v>
      </c>
      <c r="N44" s="30">
        <f>L44-K44</f>
        <v>8.9007457307332949E-10</v>
      </c>
      <c r="O44" s="36"/>
    </row>
    <row r="45" spans="1:15" x14ac:dyDescent="0.2">
      <c r="A45" s="23"/>
      <c r="B45" s="25"/>
      <c r="C45" s="25"/>
      <c r="D45" s="25"/>
      <c r="E45" s="32"/>
      <c r="F45" s="33"/>
      <c r="G45" s="34">
        <f>SUM(G44:G44)</f>
        <v>23.18375</v>
      </c>
      <c r="H45" s="34">
        <f>SUM(H44:H44)</f>
        <v>46.3675</v>
      </c>
      <c r="I45" s="25"/>
      <c r="J45" s="25"/>
      <c r="K45" s="34">
        <f>SUM(K44:K44)</f>
        <v>2.4243589109925426E-2</v>
      </c>
      <c r="L45" s="34">
        <f>SUM(L44:L44)</f>
        <v>2.4243589999999999E-2</v>
      </c>
      <c r="M45" s="34">
        <f>SUM(M44:M44)</f>
        <v>46.367501702327679</v>
      </c>
      <c r="N45" s="30">
        <f>SUM(N44:N44)</f>
        <v>8.9007457307332949E-10</v>
      </c>
      <c r="O45" s="35"/>
    </row>
    <row r="46" spans="1:15" s="15" customFormat="1" x14ac:dyDescent="0.2">
      <c r="A46" s="47" t="s">
        <v>66</v>
      </c>
      <c r="B46" s="48"/>
      <c r="C46" s="48"/>
      <c r="D46" s="48"/>
      <c r="E46" s="48"/>
      <c r="F46" s="48"/>
      <c r="G46" s="48"/>
      <c r="H46" s="48"/>
      <c r="I46" s="48"/>
      <c r="J46" s="48"/>
      <c r="K46" s="48"/>
      <c r="L46" s="48"/>
      <c r="M46" s="48"/>
      <c r="N46" s="48"/>
      <c r="O46" s="48"/>
    </row>
    <row r="47" spans="1:15" x14ac:dyDescent="0.2">
      <c r="A47" s="16" t="s">
        <v>26</v>
      </c>
      <c r="B47" s="16" t="s">
        <v>7</v>
      </c>
      <c r="C47" s="16" t="s">
        <v>0</v>
      </c>
      <c r="D47" s="16" t="s">
        <v>1</v>
      </c>
      <c r="E47" s="17" t="s">
        <v>9</v>
      </c>
      <c r="F47" s="17" t="s">
        <v>2</v>
      </c>
      <c r="G47" s="18" t="s">
        <v>3</v>
      </c>
      <c r="H47" s="18" t="s">
        <v>8</v>
      </c>
      <c r="I47" s="19" t="s">
        <v>4</v>
      </c>
      <c r="J47" s="19" t="s">
        <v>60</v>
      </c>
      <c r="K47" s="20" t="s">
        <v>5</v>
      </c>
      <c r="L47" s="21" t="s">
        <v>10</v>
      </c>
      <c r="M47" s="21" t="s">
        <v>12</v>
      </c>
      <c r="N47" s="21" t="s">
        <v>11</v>
      </c>
      <c r="O47" s="22" t="s">
        <v>6</v>
      </c>
    </row>
    <row r="48" spans="1:15" x14ac:dyDescent="0.2">
      <c r="A48" s="23" t="s">
        <v>58</v>
      </c>
      <c r="B48" s="24" t="s">
        <v>15</v>
      </c>
      <c r="C48" s="25" t="s">
        <v>67</v>
      </c>
      <c r="D48" s="25">
        <v>1021.74</v>
      </c>
      <c r="E48" s="26">
        <v>185.47</v>
      </c>
      <c r="F48" s="13">
        <f>1/8</f>
        <v>0.125</v>
      </c>
      <c r="G48" s="27">
        <f>F48*E48</f>
        <v>23.18375</v>
      </c>
      <c r="H48" s="27">
        <f>G48*8*I48</f>
        <v>46.3675</v>
      </c>
      <c r="I48" s="28">
        <v>0.25</v>
      </c>
      <c r="J48" s="28">
        <f>3436.27/7067.51</f>
        <v>0.48620659892946738</v>
      </c>
      <c r="K48" s="27">
        <f>J48*F48*I48</f>
        <v>1.5193956216545856E-2</v>
      </c>
      <c r="L48" s="29">
        <v>1.5193959999999999E-2</v>
      </c>
      <c r="M48" s="29">
        <f>(L48*E48*8)/J48</f>
        <v>46.367511545992862</v>
      </c>
      <c r="N48" s="30">
        <f>L48-K48</f>
        <v>3.7834541437298252E-9</v>
      </c>
      <c r="O48" s="36"/>
    </row>
    <row r="49" spans="1:15" x14ac:dyDescent="0.2">
      <c r="A49" s="23"/>
      <c r="B49" s="25"/>
      <c r="C49" s="25"/>
      <c r="D49" s="25"/>
      <c r="E49" s="32"/>
      <c r="F49" s="33"/>
      <c r="G49" s="34">
        <f>SUM(G48:G48)</f>
        <v>23.18375</v>
      </c>
      <c r="H49" s="34">
        <f>SUM(H48:H48)</f>
        <v>46.3675</v>
      </c>
      <c r="I49" s="25"/>
      <c r="J49" s="25"/>
      <c r="K49" s="34">
        <f>SUM(K48:K48)</f>
        <v>1.5193956216545856E-2</v>
      </c>
      <c r="L49" s="34">
        <f>SUM(L48:L48)</f>
        <v>1.5193959999999999E-2</v>
      </c>
      <c r="M49" s="34">
        <f>SUM(M48:M48)</f>
        <v>46.367511545992862</v>
      </c>
      <c r="N49" s="30">
        <f>SUM(N48:N48)</f>
        <v>3.7834541437298252E-9</v>
      </c>
      <c r="O49" s="35"/>
    </row>
    <row r="50" spans="1:15" s="15" customFormat="1" x14ac:dyDescent="0.2">
      <c r="A50" s="47" t="s">
        <v>68</v>
      </c>
      <c r="B50" s="48"/>
      <c r="C50" s="48"/>
      <c r="D50" s="48"/>
      <c r="E50" s="48"/>
      <c r="F50" s="48"/>
      <c r="G50" s="48"/>
      <c r="H50" s="48"/>
      <c r="I50" s="48"/>
      <c r="J50" s="48"/>
      <c r="K50" s="48"/>
      <c r="L50" s="48"/>
      <c r="M50" s="48"/>
      <c r="N50" s="48"/>
      <c r="O50" s="48"/>
    </row>
    <row r="51" spans="1:15" x14ac:dyDescent="0.2">
      <c r="A51" s="16" t="s">
        <v>26</v>
      </c>
      <c r="B51" s="16" t="s">
        <v>7</v>
      </c>
      <c r="C51" s="16" t="s">
        <v>0</v>
      </c>
      <c r="D51" s="16" t="s">
        <v>1</v>
      </c>
      <c r="E51" s="17" t="s">
        <v>9</v>
      </c>
      <c r="F51" s="17" t="s">
        <v>2</v>
      </c>
      <c r="G51" s="18" t="s">
        <v>3</v>
      </c>
      <c r="H51" s="18" t="s">
        <v>8</v>
      </c>
      <c r="I51" s="19" t="s">
        <v>4</v>
      </c>
      <c r="J51" s="19" t="s">
        <v>60</v>
      </c>
      <c r="K51" s="20" t="s">
        <v>5</v>
      </c>
      <c r="L51" s="21" t="s">
        <v>10</v>
      </c>
      <c r="M51" s="21" t="s">
        <v>12</v>
      </c>
      <c r="N51" s="21" t="s">
        <v>11</v>
      </c>
      <c r="O51" s="22" t="s">
        <v>6</v>
      </c>
    </row>
    <row r="52" spans="1:15" x14ac:dyDescent="0.2">
      <c r="A52" s="23" t="s">
        <v>58</v>
      </c>
      <c r="B52" s="24" t="s">
        <v>15</v>
      </c>
      <c r="C52" s="25" t="s">
        <v>69</v>
      </c>
      <c r="D52" s="25">
        <v>1021.74</v>
      </c>
      <c r="E52" s="26">
        <v>185.47</v>
      </c>
      <c r="F52" s="13">
        <f>1/8</f>
        <v>0.125</v>
      </c>
      <c r="G52" s="27">
        <f>F52*E52</f>
        <v>23.18375</v>
      </c>
      <c r="H52" s="27">
        <f>G52*8*I52</f>
        <v>46.3675</v>
      </c>
      <c r="I52" s="28">
        <v>0.25</v>
      </c>
      <c r="J52" s="28">
        <f>3435.56/6757.95</f>
        <v>0.50837310131030855</v>
      </c>
      <c r="K52" s="27">
        <f>J52*F52*I52</f>
        <v>1.5886659415947142E-2</v>
      </c>
      <c r="L52" s="29">
        <v>1.588666E-2</v>
      </c>
      <c r="M52" s="29">
        <f>(L52*E52*8)/J52</f>
        <v>46.367501704642251</v>
      </c>
      <c r="N52" s="30">
        <f>L52-K52</f>
        <v>5.8405285816021113E-10</v>
      </c>
      <c r="O52" s="36"/>
    </row>
    <row r="53" spans="1:15" x14ac:dyDescent="0.2">
      <c r="A53" s="23"/>
      <c r="B53" s="25"/>
      <c r="C53" s="25"/>
      <c r="D53" s="25"/>
      <c r="E53" s="32"/>
      <c r="F53" s="33"/>
      <c r="G53" s="34">
        <f>SUM(G52:G52)</f>
        <v>23.18375</v>
      </c>
      <c r="H53" s="34">
        <f>SUM(H52:H52)</f>
        <v>46.3675</v>
      </c>
      <c r="I53" s="25"/>
      <c r="J53" s="25"/>
      <c r="K53" s="34">
        <f>SUM(K52:K52)</f>
        <v>1.5886659415947142E-2</v>
      </c>
      <c r="L53" s="34">
        <f>SUM(L52:L52)</f>
        <v>1.588666E-2</v>
      </c>
      <c r="M53" s="34">
        <f>SUM(M52:M52)</f>
        <v>46.367501704642251</v>
      </c>
      <c r="N53" s="30">
        <f>SUM(N52:N52)</f>
        <v>5.8405285816021113E-10</v>
      </c>
      <c r="O53" s="35"/>
    </row>
    <row r="54" spans="1:15" s="15" customFormat="1" x14ac:dyDescent="0.2">
      <c r="A54" s="47" t="s">
        <v>70</v>
      </c>
      <c r="B54" s="48"/>
      <c r="C54" s="48"/>
      <c r="D54" s="48"/>
      <c r="E54" s="48"/>
      <c r="F54" s="48"/>
      <c r="G54" s="48"/>
      <c r="H54" s="48"/>
      <c r="I54" s="48"/>
      <c r="J54" s="48"/>
      <c r="K54" s="48"/>
      <c r="L54" s="48"/>
      <c r="M54" s="48"/>
      <c r="N54" s="48"/>
      <c r="O54" s="48"/>
    </row>
    <row r="55" spans="1:15" x14ac:dyDescent="0.2">
      <c r="A55" s="16" t="s">
        <v>26</v>
      </c>
      <c r="B55" s="16" t="s">
        <v>7</v>
      </c>
      <c r="C55" s="16" t="s">
        <v>0</v>
      </c>
      <c r="D55" s="16" t="s">
        <v>1</v>
      </c>
      <c r="E55" s="17" t="s">
        <v>9</v>
      </c>
      <c r="F55" s="17" t="s">
        <v>2</v>
      </c>
      <c r="G55" s="18" t="s">
        <v>3</v>
      </c>
      <c r="H55" s="18" t="s">
        <v>8</v>
      </c>
      <c r="I55" s="19" t="s">
        <v>4</v>
      </c>
      <c r="J55" s="19" t="s">
        <v>60</v>
      </c>
      <c r="K55" s="20" t="s">
        <v>5</v>
      </c>
      <c r="L55" s="21" t="s">
        <v>10</v>
      </c>
      <c r="M55" s="21" t="s">
        <v>12</v>
      </c>
      <c r="N55" s="21" t="s">
        <v>11</v>
      </c>
      <c r="O55" s="22" t="s">
        <v>6</v>
      </c>
    </row>
    <row r="56" spans="1:15" x14ac:dyDescent="0.2">
      <c r="A56" s="23" t="s">
        <v>58</v>
      </c>
      <c r="B56" s="24" t="s">
        <v>15</v>
      </c>
      <c r="C56" s="25" t="s">
        <v>71</v>
      </c>
      <c r="D56" s="25">
        <v>1021.74</v>
      </c>
      <c r="E56" s="26">
        <v>185.47</v>
      </c>
      <c r="F56" s="13">
        <f>1/8</f>
        <v>0.125</v>
      </c>
      <c r="G56" s="27">
        <f>F56*E56</f>
        <v>23.18375</v>
      </c>
      <c r="H56" s="27">
        <f>G56*8*I56</f>
        <v>46.3675</v>
      </c>
      <c r="I56" s="28">
        <v>0.25</v>
      </c>
      <c r="J56" s="28">
        <f>3434.04/6964.18</f>
        <v>0.49310040808824585</v>
      </c>
      <c r="K56" s="27">
        <f>J56*F56*I56</f>
        <v>1.5409387752757683E-2</v>
      </c>
      <c r="L56" s="29">
        <v>1.540939E-2</v>
      </c>
      <c r="M56" s="29">
        <f>(L56*E56*8)/J56</f>
        <v>46.367506762047256</v>
      </c>
      <c r="N56" s="30">
        <f>L56-K56</f>
        <v>2.2472423175795564E-9</v>
      </c>
      <c r="O56" s="36"/>
    </row>
    <row r="57" spans="1:15" x14ac:dyDescent="0.2">
      <c r="A57" s="23"/>
      <c r="B57" s="25"/>
      <c r="C57" s="25"/>
      <c r="D57" s="25"/>
      <c r="E57" s="32"/>
      <c r="F57" s="33"/>
      <c r="G57" s="34">
        <f>SUM(G56:G56)</f>
        <v>23.18375</v>
      </c>
      <c r="H57" s="34">
        <f>SUM(H56:H56)</f>
        <v>46.3675</v>
      </c>
      <c r="I57" s="25"/>
      <c r="J57" s="25"/>
      <c r="K57" s="34">
        <f>SUM(K56:K56)</f>
        <v>1.5409387752757683E-2</v>
      </c>
      <c r="L57" s="34">
        <f>SUM(L56:L56)</f>
        <v>1.540939E-2</v>
      </c>
      <c r="M57" s="34">
        <f>SUM(M56:M56)</f>
        <v>46.367506762047256</v>
      </c>
      <c r="N57" s="30">
        <f>SUM(N56:N56)</f>
        <v>2.2472423175795564E-9</v>
      </c>
      <c r="O57" s="35"/>
    </row>
    <row r="58" spans="1:15" s="15" customFormat="1" x14ac:dyDescent="0.2">
      <c r="A58" s="47" t="s">
        <v>55</v>
      </c>
      <c r="B58" s="48"/>
      <c r="C58" s="48"/>
      <c r="D58" s="48"/>
      <c r="E58" s="48"/>
      <c r="F58" s="48"/>
      <c r="G58" s="48"/>
      <c r="H58" s="48"/>
      <c r="I58" s="48"/>
      <c r="J58" s="48"/>
      <c r="K58" s="48"/>
      <c r="L58" s="48"/>
      <c r="M58" s="48"/>
      <c r="N58" s="48"/>
      <c r="O58" s="48"/>
    </row>
    <row r="59" spans="1:15" x14ac:dyDescent="0.2">
      <c r="A59" s="16" t="s">
        <v>17</v>
      </c>
      <c r="B59" s="16" t="s">
        <v>7</v>
      </c>
      <c r="C59" s="16" t="s">
        <v>0</v>
      </c>
      <c r="D59" s="16" t="s">
        <v>1</v>
      </c>
      <c r="E59" s="17" t="s">
        <v>9</v>
      </c>
      <c r="F59" s="17" t="s">
        <v>2</v>
      </c>
      <c r="G59" s="18" t="s">
        <v>3</v>
      </c>
      <c r="H59" s="18" t="s">
        <v>8</v>
      </c>
      <c r="I59" s="19" t="s">
        <v>4</v>
      </c>
      <c r="J59" s="19" t="s">
        <v>60</v>
      </c>
      <c r="K59" s="20" t="s">
        <v>5</v>
      </c>
      <c r="L59" s="21" t="s">
        <v>10</v>
      </c>
      <c r="M59" s="21" t="s">
        <v>12</v>
      </c>
      <c r="N59" s="21" t="s">
        <v>11</v>
      </c>
      <c r="O59" s="22" t="s">
        <v>6</v>
      </c>
    </row>
    <row r="60" spans="1:15" ht="30" x14ac:dyDescent="0.2">
      <c r="A60" s="23" t="s">
        <v>29</v>
      </c>
      <c r="B60" s="24" t="s">
        <v>15</v>
      </c>
      <c r="C60" s="25" t="s">
        <v>30</v>
      </c>
      <c r="D60" s="25">
        <v>551.91999999999996</v>
      </c>
      <c r="E60" s="26">
        <v>100</v>
      </c>
      <c r="F60" s="13">
        <f>1/8</f>
        <v>0.125</v>
      </c>
      <c r="G60" s="27">
        <f>F60*E60</f>
        <v>12.5</v>
      </c>
      <c r="H60" s="27">
        <f>G60*8*I60</f>
        <v>25</v>
      </c>
      <c r="I60" s="28">
        <v>0.25</v>
      </c>
      <c r="J60" s="28"/>
      <c r="K60" s="27">
        <f>(G60/D60)*I60</f>
        <v>5.662052471372663E-3</v>
      </c>
      <c r="L60" s="29">
        <v>5.6620999999999998E-3</v>
      </c>
      <c r="M60" s="29">
        <f>L60*D60*8</f>
        <v>25.000209855999998</v>
      </c>
      <c r="N60" s="30">
        <f>L60-K60</f>
        <v>4.752862733676394E-8</v>
      </c>
      <c r="O60" s="36" t="s">
        <v>31</v>
      </c>
    </row>
    <row r="61" spans="1:15" x14ac:dyDescent="0.2">
      <c r="A61" s="23"/>
      <c r="B61" s="25"/>
      <c r="C61" s="25"/>
      <c r="D61" s="25"/>
      <c r="E61" s="32"/>
      <c r="F61" s="33"/>
      <c r="G61" s="34">
        <f>SUM(G60:G60)</f>
        <v>12.5</v>
      </c>
      <c r="H61" s="34">
        <f>SUM(H60:H60)</f>
        <v>25</v>
      </c>
      <c r="I61" s="25"/>
      <c r="J61" s="25"/>
      <c r="K61" s="34">
        <f>SUM(K60:K60)</f>
        <v>5.662052471372663E-3</v>
      </c>
      <c r="L61" s="34">
        <f>SUM(L60:L60)</f>
        <v>5.6620999999999998E-3</v>
      </c>
      <c r="M61" s="34">
        <f>SUM(M60:M60)</f>
        <v>25.000209855999998</v>
      </c>
      <c r="N61" s="30">
        <f>SUM(N60:N60)</f>
        <v>4.752862733676394E-8</v>
      </c>
      <c r="O61" s="35"/>
    </row>
    <row r="62" spans="1:15" s="15" customFormat="1" x14ac:dyDescent="0.2">
      <c r="A62" s="47" t="s">
        <v>34</v>
      </c>
      <c r="B62" s="48"/>
      <c r="C62" s="48"/>
      <c r="D62" s="48"/>
      <c r="E62" s="48"/>
      <c r="F62" s="48"/>
      <c r="G62" s="48"/>
      <c r="H62" s="48"/>
      <c r="I62" s="48"/>
      <c r="J62" s="48"/>
      <c r="K62" s="48"/>
      <c r="L62" s="48"/>
      <c r="M62" s="48"/>
      <c r="N62" s="48"/>
      <c r="O62" s="48"/>
    </row>
    <row r="63" spans="1:15" x14ac:dyDescent="0.2">
      <c r="A63" s="16" t="s">
        <v>33</v>
      </c>
      <c r="B63" s="16" t="s">
        <v>7</v>
      </c>
      <c r="C63" s="16" t="s">
        <v>0</v>
      </c>
      <c r="D63" s="16" t="s">
        <v>1</v>
      </c>
      <c r="E63" s="17" t="s">
        <v>9</v>
      </c>
      <c r="F63" s="17" t="s">
        <v>2</v>
      </c>
      <c r="G63" s="18" t="s">
        <v>3</v>
      </c>
      <c r="H63" s="18" t="s">
        <v>8</v>
      </c>
      <c r="I63" s="19" t="s">
        <v>4</v>
      </c>
      <c r="J63" s="19" t="s">
        <v>60</v>
      </c>
      <c r="K63" s="20" t="s">
        <v>5</v>
      </c>
      <c r="L63" s="21" t="s">
        <v>10</v>
      </c>
      <c r="M63" s="21" t="s">
        <v>12</v>
      </c>
      <c r="N63" s="21" t="s">
        <v>11</v>
      </c>
      <c r="O63" s="22" t="s">
        <v>6</v>
      </c>
    </row>
    <row r="64" spans="1:15" ht="30" x14ac:dyDescent="0.2">
      <c r="A64" s="37" t="s">
        <v>78</v>
      </c>
      <c r="B64" s="24" t="s">
        <v>15</v>
      </c>
      <c r="C64" s="25" t="s">
        <v>32</v>
      </c>
      <c r="D64" s="25">
        <v>654.66</v>
      </c>
      <c r="E64" s="26">
        <v>327.33999999999997</v>
      </c>
      <c r="F64" s="13">
        <f>1/384</f>
        <v>2.6041666666666665E-3</v>
      </c>
      <c r="G64" s="27">
        <f>F64*E64</f>
        <v>0.85244791666666653</v>
      </c>
      <c r="H64" s="27">
        <f>G64*8*I64</f>
        <v>1.7048958333333331</v>
      </c>
      <c r="I64" s="28">
        <v>0.25</v>
      </c>
      <c r="J64" s="28"/>
      <c r="K64" s="27">
        <f>(G64/D64)*I64</f>
        <v>3.2553077806291302E-4</v>
      </c>
      <c r="L64" s="29">
        <v>3.2373999999999999E-4</v>
      </c>
      <c r="M64" s="29">
        <f>L64*D64*8</f>
        <v>1.6955170271999997</v>
      </c>
      <c r="N64" s="30">
        <f>L64-K64</f>
        <v>-1.7907780629130296E-6</v>
      </c>
      <c r="O64" s="36"/>
    </row>
    <row r="65" spans="1:15" x14ac:dyDescent="0.2">
      <c r="A65" s="23"/>
      <c r="B65" s="25"/>
      <c r="C65" s="25"/>
      <c r="D65" s="25"/>
      <c r="E65" s="32"/>
      <c r="F65" s="33"/>
      <c r="G65" s="34">
        <f>SUM(G64:G64)</f>
        <v>0.85244791666666653</v>
      </c>
      <c r="H65" s="34">
        <f>SUM(H64:H64)</f>
        <v>1.7048958333333331</v>
      </c>
      <c r="I65" s="25"/>
      <c r="J65" s="25"/>
      <c r="K65" s="34">
        <f>SUM(K64:K64)</f>
        <v>3.2553077806291302E-4</v>
      </c>
      <c r="L65" s="34">
        <f>SUM(L64:L64)</f>
        <v>3.2373999999999999E-4</v>
      </c>
      <c r="M65" s="34">
        <f>SUM(M64:M64)</f>
        <v>1.6955170271999997</v>
      </c>
      <c r="N65" s="30">
        <f>SUM(N64:N64)</f>
        <v>-1.7907780629130296E-6</v>
      </c>
      <c r="O65" s="35"/>
    </row>
    <row r="66" spans="1:15" s="15" customFormat="1" x14ac:dyDescent="0.2">
      <c r="A66" s="47" t="s">
        <v>103</v>
      </c>
      <c r="B66" s="48"/>
      <c r="C66" s="48"/>
      <c r="D66" s="48"/>
      <c r="E66" s="48"/>
      <c r="F66" s="48"/>
      <c r="G66" s="48"/>
      <c r="H66" s="48"/>
      <c r="I66" s="48"/>
      <c r="J66" s="48"/>
      <c r="K66" s="48"/>
      <c r="L66" s="48"/>
      <c r="M66" s="48"/>
      <c r="N66" s="48"/>
      <c r="O66" s="48"/>
    </row>
    <row r="67" spans="1:15" x14ac:dyDescent="0.2">
      <c r="A67" s="16" t="s">
        <v>36</v>
      </c>
      <c r="B67" s="16" t="s">
        <v>7</v>
      </c>
      <c r="C67" s="16" t="s">
        <v>0</v>
      </c>
      <c r="D67" s="16" t="s">
        <v>1</v>
      </c>
      <c r="E67" s="17" t="s">
        <v>9</v>
      </c>
      <c r="F67" s="17" t="s">
        <v>2</v>
      </c>
      <c r="G67" s="18" t="s">
        <v>3</v>
      </c>
      <c r="H67" s="18" t="s">
        <v>8</v>
      </c>
      <c r="I67" s="19" t="s">
        <v>4</v>
      </c>
      <c r="J67" s="19" t="s">
        <v>60</v>
      </c>
      <c r="K67" s="20" t="s">
        <v>5</v>
      </c>
      <c r="L67" s="21" t="s">
        <v>10</v>
      </c>
      <c r="M67" s="21" t="s">
        <v>12</v>
      </c>
      <c r="N67" s="21" t="s">
        <v>11</v>
      </c>
      <c r="O67" s="22" t="s">
        <v>6</v>
      </c>
    </row>
    <row r="68" spans="1:15" x14ac:dyDescent="0.2">
      <c r="A68" s="37" t="s">
        <v>106</v>
      </c>
      <c r="B68" s="24" t="s">
        <v>15</v>
      </c>
      <c r="C68" s="25" t="s">
        <v>35</v>
      </c>
      <c r="D68" s="25">
        <v>994.2</v>
      </c>
      <c r="E68" s="26">
        <v>159.69999999999999</v>
      </c>
      <c r="F68" s="13">
        <f>1/384</f>
        <v>2.6041666666666665E-3</v>
      </c>
      <c r="G68" s="27">
        <f>F68*E68</f>
        <v>0.41588541666666662</v>
      </c>
      <c r="H68" s="27">
        <f>G68*8*I68</f>
        <v>0.83177083333333324</v>
      </c>
      <c r="I68" s="28">
        <v>0.25</v>
      </c>
      <c r="J68" s="28"/>
      <c r="K68" s="27">
        <f>(G68/D68)*I68</f>
        <v>1.0457790602159188E-4</v>
      </c>
      <c r="L68" s="29">
        <v>1.9874000000000001E-4</v>
      </c>
      <c r="M68" s="29">
        <f>L68*D68*8</f>
        <v>1.5806984640000001</v>
      </c>
      <c r="N68" s="30">
        <f>L68-K71</f>
        <v>1.5614067508214327E-5</v>
      </c>
      <c r="O68" s="36"/>
    </row>
    <row r="69" spans="1:15" x14ac:dyDescent="0.2">
      <c r="A69" s="16" t="s">
        <v>37</v>
      </c>
      <c r="B69" s="16" t="s">
        <v>7</v>
      </c>
      <c r="C69" s="16" t="s">
        <v>0</v>
      </c>
      <c r="D69" s="16" t="s">
        <v>1</v>
      </c>
      <c r="E69" s="17" t="s">
        <v>9</v>
      </c>
      <c r="F69" s="17" t="s">
        <v>2</v>
      </c>
      <c r="G69" s="18" t="s">
        <v>3</v>
      </c>
      <c r="H69" s="18" t="s">
        <v>8</v>
      </c>
      <c r="I69" s="19" t="s">
        <v>4</v>
      </c>
      <c r="J69" s="19" t="s">
        <v>60</v>
      </c>
      <c r="K69" s="20" t="s">
        <v>5</v>
      </c>
      <c r="L69" s="21" t="s">
        <v>10</v>
      </c>
      <c r="M69" s="21" t="s">
        <v>12</v>
      </c>
      <c r="N69" s="21" t="s">
        <v>11</v>
      </c>
      <c r="O69" s="22" t="s">
        <v>6</v>
      </c>
    </row>
    <row r="70" spans="1:15" x14ac:dyDescent="0.2">
      <c r="A70" s="37" t="s">
        <v>106</v>
      </c>
      <c r="B70" s="24" t="s">
        <v>15</v>
      </c>
      <c r="C70" s="25" t="s">
        <v>35</v>
      </c>
      <c r="D70" s="25">
        <v>994.2</v>
      </c>
      <c r="E70" s="26">
        <v>239.9</v>
      </c>
      <c r="F70" s="13">
        <f>1/384</f>
        <v>2.6041666666666665E-3</v>
      </c>
      <c r="G70" s="27">
        <f>F70*E70</f>
        <v>0.62473958333333335</v>
      </c>
      <c r="H70" s="27">
        <f>G70*8*I70</f>
        <v>0.62473958333333335</v>
      </c>
      <c r="I70" s="28">
        <f>1/8</f>
        <v>0.125</v>
      </c>
      <c r="J70" s="28"/>
      <c r="K70" s="27">
        <f>(G70/D70)*I70</f>
        <v>7.8548026470193788E-5</v>
      </c>
      <c r="L70" s="29"/>
      <c r="M70" s="29"/>
      <c r="N70" s="30"/>
      <c r="O70" s="36"/>
    </row>
    <row r="71" spans="1:15" x14ac:dyDescent="0.2">
      <c r="A71" s="23"/>
      <c r="B71" s="25"/>
      <c r="C71" s="25"/>
      <c r="D71" s="25"/>
      <c r="E71" s="32"/>
      <c r="F71" s="33"/>
      <c r="G71" s="34">
        <f>SUM(G68:G70)</f>
        <v>1.0406249999999999</v>
      </c>
      <c r="H71" s="34">
        <f>SUM(H68:H70)</f>
        <v>1.4565104166666667</v>
      </c>
      <c r="I71" s="25"/>
      <c r="J71" s="25"/>
      <c r="K71" s="34">
        <f>SUM(K68:K70)</f>
        <v>1.8312593249178568E-4</v>
      </c>
      <c r="L71" s="34">
        <f t="shared" ref="L71:N71" si="0">SUM(L68:L70)</f>
        <v>1.9874000000000001E-4</v>
      </c>
      <c r="M71" s="34">
        <f t="shared" si="0"/>
        <v>1.5806984640000001</v>
      </c>
      <c r="N71" s="30">
        <f t="shared" si="0"/>
        <v>1.5614067508214327E-5</v>
      </c>
      <c r="O71" s="35"/>
    </row>
    <row r="72" spans="1:15" s="15" customFormat="1" x14ac:dyDescent="0.2">
      <c r="A72" s="47" t="s">
        <v>104</v>
      </c>
      <c r="B72" s="48"/>
      <c r="C72" s="48"/>
      <c r="D72" s="48"/>
      <c r="E72" s="48"/>
      <c r="F72" s="48"/>
      <c r="G72" s="48"/>
      <c r="H72" s="48"/>
      <c r="I72" s="48"/>
      <c r="J72" s="48"/>
      <c r="K72" s="48"/>
      <c r="L72" s="48"/>
      <c r="M72" s="48"/>
      <c r="N72" s="48"/>
      <c r="O72" s="48"/>
    </row>
    <row r="73" spans="1:15" x14ac:dyDescent="0.2">
      <c r="A73" s="16" t="s">
        <v>17</v>
      </c>
      <c r="B73" s="16" t="s">
        <v>7</v>
      </c>
      <c r="C73" s="16" t="s">
        <v>0</v>
      </c>
      <c r="D73" s="16" t="s">
        <v>1</v>
      </c>
      <c r="E73" s="17" t="s">
        <v>9</v>
      </c>
      <c r="F73" s="17" t="s">
        <v>2</v>
      </c>
      <c r="G73" s="18" t="s">
        <v>3</v>
      </c>
      <c r="H73" s="18" t="s">
        <v>8</v>
      </c>
      <c r="I73" s="19" t="s">
        <v>4</v>
      </c>
      <c r="J73" s="19" t="s">
        <v>60</v>
      </c>
      <c r="K73" s="20" t="s">
        <v>5</v>
      </c>
      <c r="L73" s="21" t="s">
        <v>10</v>
      </c>
      <c r="M73" s="21" t="s">
        <v>12</v>
      </c>
      <c r="N73" s="21" t="s">
        <v>11</v>
      </c>
      <c r="O73" s="22" t="s">
        <v>6</v>
      </c>
    </row>
    <row r="74" spans="1:15" x14ac:dyDescent="0.2">
      <c r="A74" s="37" t="s">
        <v>106</v>
      </c>
      <c r="B74" s="24" t="s">
        <v>15</v>
      </c>
      <c r="C74" s="25" t="s">
        <v>35</v>
      </c>
      <c r="D74" s="25">
        <v>1073.8</v>
      </c>
      <c r="E74" s="26">
        <v>239.3</v>
      </c>
      <c r="F74" s="13">
        <f>1/384</f>
        <v>2.6041666666666665E-3</v>
      </c>
      <c r="G74" s="27">
        <f>F74*E74</f>
        <v>0.62317708333333333</v>
      </c>
      <c r="H74" s="27">
        <f>G74*8*I74</f>
        <v>1.2463541666666667</v>
      </c>
      <c r="I74" s="28">
        <v>0.25</v>
      </c>
      <c r="J74" s="28"/>
      <c r="K74" s="27">
        <f>(G74/D74)*I74</f>
        <v>1.4508686052647918E-4</v>
      </c>
      <c r="L74" s="29">
        <v>2.3941000000000001E-4</v>
      </c>
      <c r="M74" s="29">
        <f>L74*D74*8</f>
        <v>2.0566276640000001</v>
      </c>
      <c r="N74" s="30">
        <f>L74-K77</f>
        <v>2.159782012479047E-5</v>
      </c>
      <c r="O74" s="36"/>
    </row>
    <row r="75" spans="1:15" x14ac:dyDescent="0.2">
      <c r="A75" s="16" t="s">
        <v>37</v>
      </c>
      <c r="B75" s="16" t="s">
        <v>7</v>
      </c>
      <c r="C75" s="16" t="s">
        <v>0</v>
      </c>
      <c r="D75" s="16" t="s">
        <v>1</v>
      </c>
      <c r="E75" s="17" t="s">
        <v>9</v>
      </c>
      <c r="F75" s="17" t="s">
        <v>2</v>
      </c>
      <c r="G75" s="18" t="s">
        <v>3</v>
      </c>
      <c r="H75" s="18" t="s">
        <v>8</v>
      </c>
      <c r="I75" s="19" t="s">
        <v>4</v>
      </c>
      <c r="J75" s="19" t="s">
        <v>60</v>
      </c>
      <c r="K75" s="20" t="s">
        <v>5</v>
      </c>
      <c r="L75" s="21" t="s">
        <v>10</v>
      </c>
      <c r="M75" s="21" t="s">
        <v>12</v>
      </c>
      <c r="N75" s="21" t="s">
        <v>11</v>
      </c>
      <c r="O75" s="22" t="s">
        <v>6</v>
      </c>
    </row>
    <row r="76" spans="1:15" x14ac:dyDescent="0.2">
      <c r="A76" s="37" t="s">
        <v>106</v>
      </c>
      <c r="B76" s="24" t="s">
        <v>15</v>
      </c>
      <c r="C76" s="25" t="s">
        <v>35</v>
      </c>
      <c r="D76" s="25">
        <v>1073.8</v>
      </c>
      <c r="E76" s="26">
        <v>239.9</v>
      </c>
      <c r="F76" s="13">
        <f>1/384</f>
        <v>2.6041666666666665E-3</v>
      </c>
      <c r="G76" s="27">
        <f>F76*E76</f>
        <v>0.62473958333333335</v>
      </c>
      <c r="H76" s="27">
        <f>G76*8*I76</f>
        <v>0.62473958333333335</v>
      </c>
      <c r="I76" s="28">
        <f>1/8</f>
        <v>0.125</v>
      </c>
      <c r="J76" s="28"/>
      <c r="K76" s="27">
        <f>(G76/D76)*I76</f>
        <v>7.2725319348730368E-5</v>
      </c>
      <c r="L76" s="29"/>
      <c r="M76" s="29"/>
      <c r="N76" s="30"/>
      <c r="O76" s="36"/>
    </row>
    <row r="77" spans="1:15" x14ac:dyDescent="0.2">
      <c r="A77" s="23"/>
      <c r="B77" s="25"/>
      <c r="C77" s="25"/>
      <c r="D77" s="25"/>
      <c r="E77" s="32"/>
      <c r="F77" s="33"/>
      <c r="G77" s="34">
        <f>SUM(G74:G76)</f>
        <v>1.2479166666666668</v>
      </c>
      <c r="H77" s="34">
        <f>SUM(H74:H76)</f>
        <v>1.87109375</v>
      </c>
      <c r="I77" s="25"/>
      <c r="J77" s="25"/>
      <c r="K77" s="34">
        <f>SUM(K74:K76)</f>
        <v>2.1781217987520954E-4</v>
      </c>
      <c r="L77" s="34">
        <f t="shared" ref="L77" si="1">SUM(L74:L76)</f>
        <v>2.3941000000000001E-4</v>
      </c>
      <c r="M77" s="34">
        <f t="shared" ref="M77" si="2">SUM(M74:M76)</f>
        <v>2.0566276640000001</v>
      </c>
      <c r="N77" s="30">
        <f t="shared" ref="N77" si="3">SUM(N74:N76)</f>
        <v>2.159782012479047E-5</v>
      </c>
      <c r="O77" s="35"/>
    </row>
    <row r="78" spans="1:15" s="15" customFormat="1" x14ac:dyDescent="0.2">
      <c r="A78" s="47" t="s">
        <v>105</v>
      </c>
      <c r="B78" s="48"/>
      <c r="C78" s="48"/>
      <c r="D78" s="48"/>
      <c r="E78" s="48"/>
      <c r="F78" s="48"/>
      <c r="G78" s="48"/>
      <c r="H78" s="48"/>
      <c r="I78" s="48"/>
      <c r="J78" s="48"/>
      <c r="K78" s="48"/>
      <c r="L78" s="48"/>
      <c r="M78" s="48"/>
      <c r="N78" s="48"/>
      <c r="O78" s="48"/>
    </row>
    <row r="79" spans="1:15" x14ac:dyDescent="0.2">
      <c r="A79" s="16" t="s">
        <v>0</v>
      </c>
      <c r="B79" s="16" t="s">
        <v>7</v>
      </c>
      <c r="C79" s="16" t="s">
        <v>0</v>
      </c>
      <c r="D79" s="16" t="s">
        <v>1</v>
      </c>
      <c r="E79" s="17" t="s">
        <v>9</v>
      </c>
      <c r="F79" s="17" t="s">
        <v>2</v>
      </c>
      <c r="G79" s="18" t="s">
        <v>3</v>
      </c>
      <c r="H79" s="18" t="s">
        <v>8</v>
      </c>
      <c r="I79" s="19" t="s">
        <v>4</v>
      </c>
      <c r="J79" s="19" t="s">
        <v>60</v>
      </c>
      <c r="K79" s="20" t="s">
        <v>5</v>
      </c>
      <c r="L79" s="21" t="s">
        <v>10</v>
      </c>
      <c r="M79" s="21" t="s">
        <v>12</v>
      </c>
      <c r="N79" s="21" t="s">
        <v>11</v>
      </c>
      <c r="O79" s="22" t="s">
        <v>6</v>
      </c>
    </row>
    <row r="80" spans="1:15" ht="30" x14ac:dyDescent="0.2">
      <c r="A80" s="37" t="s">
        <v>135</v>
      </c>
      <c r="B80" s="24" t="s">
        <v>15</v>
      </c>
      <c r="C80" s="25" t="s">
        <v>38</v>
      </c>
      <c r="D80" s="25">
        <v>1298.3</v>
      </c>
      <c r="E80" s="26">
        <v>1298.3</v>
      </c>
      <c r="F80" s="13">
        <f>1/384</f>
        <v>2.6041666666666665E-3</v>
      </c>
      <c r="G80" s="27">
        <f>F80*E80</f>
        <v>3.3809895833333332</v>
      </c>
      <c r="H80" s="27">
        <f>G80*8*I80</f>
        <v>6.7619791666666664</v>
      </c>
      <c r="I80" s="28">
        <v>0.25</v>
      </c>
      <c r="J80" s="28"/>
      <c r="K80" s="27">
        <f>(G80/D80)*I80</f>
        <v>6.5104166666666663E-4</v>
      </c>
      <c r="L80" s="29">
        <v>6.5103999999999997E-4</v>
      </c>
      <c r="M80" s="29">
        <f>L80*D80*8</f>
        <v>6.7619618559999992</v>
      </c>
      <c r="N80" s="30">
        <f>L80-K80</f>
        <v>-1.6666666666567687E-9</v>
      </c>
      <c r="O80" s="36"/>
    </row>
    <row r="81" spans="1:15" x14ac:dyDescent="0.2">
      <c r="A81" s="23"/>
      <c r="B81" s="25"/>
      <c r="C81" s="25"/>
      <c r="D81" s="25"/>
      <c r="E81" s="32"/>
      <c r="F81" s="33"/>
      <c r="G81" s="34">
        <f>SUM(G80:G80)</f>
        <v>3.3809895833333332</v>
      </c>
      <c r="H81" s="34">
        <f>SUM(H80:H80)</f>
        <v>6.7619791666666664</v>
      </c>
      <c r="I81" s="25"/>
      <c r="J81" s="25"/>
      <c r="K81" s="34">
        <f>SUM(K80:K80)</f>
        <v>6.5104166666666663E-4</v>
      </c>
      <c r="L81" s="34">
        <f>SUM(L80:L80)</f>
        <v>6.5103999999999997E-4</v>
      </c>
      <c r="M81" s="34">
        <f>SUM(M80:M80)</f>
        <v>6.7619618559999992</v>
      </c>
      <c r="N81" s="30">
        <f>SUM(N80:N80)</f>
        <v>-1.6666666666567687E-9</v>
      </c>
      <c r="O81" s="35"/>
    </row>
    <row r="82" spans="1:15" s="15" customFormat="1" x14ac:dyDescent="0.2">
      <c r="A82" s="47" t="s">
        <v>102</v>
      </c>
      <c r="B82" s="48"/>
      <c r="C82" s="48"/>
      <c r="D82" s="48"/>
      <c r="E82" s="48"/>
      <c r="F82" s="48"/>
      <c r="G82" s="48"/>
      <c r="H82" s="48"/>
      <c r="I82" s="48"/>
      <c r="J82" s="48"/>
      <c r="K82" s="48"/>
      <c r="L82" s="48"/>
      <c r="M82" s="48"/>
      <c r="N82" s="48"/>
      <c r="O82" s="48"/>
    </row>
    <row r="83" spans="1:15" x14ac:dyDescent="0.2">
      <c r="A83" s="16" t="s">
        <v>39</v>
      </c>
      <c r="B83" s="16" t="s">
        <v>7</v>
      </c>
      <c r="C83" s="16" t="s">
        <v>0</v>
      </c>
      <c r="D83" s="16" t="s">
        <v>1</v>
      </c>
      <c r="E83" s="17" t="s">
        <v>9</v>
      </c>
      <c r="F83" s="17" t="s">
        <v>2</v>
      </c>
      <c r="G83" s="18" t="s">
        <v>3</v>
      </c>
      <c r="H83" s="18" t="s">
        <v>8</v>
      </c>
      <c r="I83" s="19" t="s">
        <v>4</v>
      </c>
      <c r="J83" s="19" t="s">
        <v>60</v>
      </c>
      <c r="K83" s="20" t="s">
        <v>5</v>
      </c>
      <c r="L83" s="21" t="s">
        <v>10</v>
      </c>
      <c r="M83" s="21" t="s">
        <v>12</v>
      </c>
      <c r="N83" s="21" t="s">
        <v>11</v>
      </c>
      <c r="O83" s="22" t="s">
        <v>6</v>
      </c>
    </row>
    <row r="84" spans="1:15" x14ac:dyDescent="0.2">
      <c r="A84" s="37" t="s">
        <v>79</v>
      </c>
      <c r="B84" s="24" t="s">
        <v>15</v>
      </c>
      <c r="C84" s="25" t="s">
        <v>40</v>
      </c>
      <c r="D84" s="25">
        <v>649.96</v>
      </c>
      <c r="E84" s="26">
        <v>333.96</v>
      </c>
      <c r="F84" s="13">
        <f>1/384</f>
        <v>2.6041666666666665E-3</v>
      </c>
      <c r="G84" s="27">
        <f>F84*E84</f>
        <v>0.86968749999999995</v>
      </c>
      <c r="H84" s="27">
        <f>G84*8*I84</f>
        <v>1.7393749999999999</v>
      </c>
      <c r="I84" s="28">
        <v>0.25</v>
      </c>
      <c r="J84" s="28"/>
      <c r="K84" s="27">
        <f>(G84/D84)*I84</f>
        <v>3.3451577789402422E-4</v>
      </c>
      <c r="L84" s="29">
        <v>3.3051000000000001E-4</v>
      </c>
      <c r="M84" s="29">
        <f>L84*D84*8</f>
        <v>1.7185462368000002</v>
      </c>
      <c r="N84" s="30">
        <f>L84-K84</f>
        <v>-4.0057778940242195E-6</v>
      </c>
      <c r="O84" s="36"/>
    </row>
    <row r="85" spans="1:15" x14ac:dyDescent="0.2">
      <c r="A85" s="23"/>
      <c r="B85" s="25"/>
      <c r="C85" s="25"/>
      <c r="D85" s="25"/>
      <c r="E85" s="32"/>
      <c r="F85" s="33"/>
      <c r="G85" s="34">
        <f>SUM(G84:G84)</f>
        <v>0.86968749999999995</v>
      </c>
      <c r="H85" s="34">
        <f>SUM(H84:H84)</f>
        <v>1.7393749999999999</v>
      </c>
      <c r="I85" s="25"/>
      <c r="J85" s="25"/>
      <c r="K85" s="34">
        <f>SUM(K84:K84)</f>
        <v>3.3451577789402422E-4</v>
      </c>
      <c r="L85" s="34">
        <f>SUM(L84:L84)</f>
        <v>3.3051000000000001E-4</v>
      </c>
      <c r="M85" s="34">
        <f>SUM(M84:M84)</f>
        <v>1.7185462368000002</v>
      </c>
      <c r="N85" s="30">
        <f>SUM(N84:N84)</f>
        <v>-4.0057778940242195E-6</v>
      </c>
      <c r="O85" s="35"/>
    </row>
    <row r="86" spans="1:15" s="15" customFormat="1" x14ac:dyDescent="0.2">
      <c r="A86" s="47" t="s">
        <v>101</v>
      </c>
      <c r="B86" s="48"/>
      <c r="C86" s="48"/>
      <c r="D86" s="48"/>
      <c r="E86" s="48"/>
      <c r="F86" s="48"/>
      <c r="G86" s="48"/>
      <c r="H86" s="48"/>
      <c r="I86" s="48"/>
      <c r="J86" s="48"/>
      <c r="K86" s="48"/>
      <c r="L86" s="48"/>
      <c r="M86" s="48"/>
      <c r="N86" s="48"/>
      <c r="O86" s="48"/>
    </row>
    <row r="87" spans="1:15" x14ac:dyDescent="0.2">
      <c r="A87" s="16" t="s">
        <v>39</v>
      </c>
      <c r="B87" s="16" t="s">
        <v>7</v>
      </c>
      <c r="C87" s="16" t="s">
        <v>0</v>
      </c>
      <c r="D87" s="16" t="s">
        <v>1</v>
      </c>
      <c r="E87" s="17" t="s">
        <v>9</v>
      </c>
      <c r="F87" s="17" t="s">
        <v>2</v>
      </c>
      <c r="G87" s="18" t="s">
        <v>3</v>
      </c>
      <c r="H87" s="18" t="s">
        <v>8</v>
      </c>
      <c r="I87" s="19" t="s">
        <v>4</v>
      </c>
      <c r="J87" s="19" t="s">
        <v>60</v>
      </c>
      <c r="K87" s="20" t="s">
        <v>5</v>
      </c>
      <c r="L87" s="21" t="s">
        <v>10</v>
      </c>
      <c r="M87" s="21" t="s">
        <v>12</v>
      </c>
      <c r="N87" s="21" t="s">
        <v>11</v>
      </c>
      <c r="O87" s="22" t="s">
        <v>6</v>
      </c>
    </row>
    <row r="88" spans="1:15" x14ac:dyDescent="0.2">
      <c r="A88" s="37" t="s">
        <v>79</v>
      </c>
      <c r="B88" s="24" t="s">
        <v>15</v>
      </c>
      <c r="C88" s="25" t="s">
        <v>41</v>
      </c>
      <c r="D88" s="25">
        <v>655.5</v>
      </c>
      <c r="E88" s="26">
        <v>335.5</v>
      </c>
      <c r="F88" s="13">
        <f>1/384</f>
        <v>2.6041666666666665E-3</v>
      </c>
      <c r="G88" s="27">
        <f>F88*E88</f>
        <v>0.87369791666666663</v>
      </c>
      <c r="H88" s="27">
        <f>G88*8*I88</f>
        <v>1.7473958333333333</v>
      </c>
      <c r="I88" s="28">
        <v>0.25</v>
      </c>
      <c r="J88" s="28"/>
      <c r="K88" s="27">
        <f>(G88/D88)*I88</f>
        <v>3.3321812229849987E-4</v>
      </c>
      <c r="L88" s="29">
        <v>3.3322000000000001E-4</v>
      </c>
      <c r="M88" s="29">
        <f>L88*D88*8</f>
        <v>1.74740568</v>
      </c>
      <c r="N88" s="30">
        <f>L88-K88</f>
        <v>1.8777015001452541E-9</v>
      </c>
      <c r="O88" s="36"/>
    </row>
    <row r="89" spans="1:15" x14ac:dyDescent="0.2">
      <c r="A89" s="23"/>
      <c r="B89" s="25"/>
      <c r="C89" s="25"/>
      <c r="D89" s="25"/>
      <c r="E89" s="32"/>
      <c r="F89" s="33"/>
      <c r="G89" s="34">
        <f>SUM(G88:G88)</f>
        <v>0.87369791666666663</v>
      </c>
      <c r="H89" s="34">
        <f>SUM(H88:H88)</f>
        <v>1.7473958333333333</v>
      </c>
      <c r="I89" s="25"/>
      <c r="J89" s="25"/>
      <c r="K89" s="34">
        <f>SUM(K88:K88)</f>
        <v>3.3321812229849987E-4</v>
      </c>
      <c r="L89" s="34">
        <f>SUM(L88:L88)</f>
        <v>3.3322000000000001E-4</v>
      </c>
      <c r="M89" s="34">
        <f>SUM(M88:M88)</f>
        <v>1.74740568</v>
      </c>
      <c r="N89" s="30">
        <f>SUM(N88:N88)</f>
        <v>1.8777015001452541E-9</v>
      </c>
      <c r="O89" s="35"/>
    </row>
    <row r="90" spans="1:15" s="15" customFormat="1" x14ac:dyDescent="0.2">
      <c r="A90" s="47" t="s">
        <v>100</v>
      </c>
      <c r="B90" s="48"/>
      <c r="C90" s="48"/>
      <c r="D90" s="48"/>
      <c r="E90" s="48"/>
      <c r="F90" s="48"/>
      <c r="G90" s="48"/>
      <c r="H90" s="48"/>
      <c r="I90" s="48"/>
      <c r="J90" s="48"/>
      <c r="K90" s="48"/>
      <c r="L90" s="48"/>
      <c r="M90" s="48"/>
      <c r="N90" s="48"/>
      <c r="O90" s="48"/>
    </row>
    <row r="91" spans="1:15" x14ac:dyDescent="0.2">
      <c r="A91" s="16" t="s">
        <v>39</v>
      </c>
      <c r="B91" s="16" t="s">
        <v>7</v>
      </c>
      <c r="C91" s="16" t="s">
        <v>0</v>
      </c>
      <c r="D91" s="16" t="s">
        <v>1</v>
      </c>
      <c r="E91" s="17" t="s">
        <v>9</v>
      </c>
      <c r="F91" s="17" t="s">
        <v>2</v>
      </c>
      <c r="G91" s="18" t="s">
        <v>3</v>
      </c>
      <c r="H91" s="18" t="s">
        <v>8</v>
      </c>
      <c r="I91" s="19" t="s">
        <v>4</v>
      </c>
      <c r="J91" s="19" t="s">
        <v>60</v>
      </c>
      <c r="K91" s="20" t="s">
        <v>5</v>
      </c>
      <c r="L91" s="21" t="s">
        <v>10</v>
      </c>
      <c r="M91" s="21" t="s">
        <v>12</v>
      </c>
      <c r="N91" s="21" t="s">
        <v>11</v>
      </c>
      <c r="O91" s="22" t="s">
        <v>6</v>
      </c>
    </row>
    <row r="92" spans="1:15" x14ac:dyDescent="0.2">
      <c r="A92" s="37" t="s">
        <v>79</v>
      </c>
      <c r="B92" s="24" t="s">
        <v>15</v>
      </c>
      <c r="C92" s="25" t="s">
        <v>42</v>
      </c>
      <c r="D92" s="25">
        <v>160</v>
      </c>
      <c r="E92" s="26">
        <v>79.599999999999994</v>
      </c>
      <c r="F92" s="13">
        <f>1/384</f>
        <v>2.6041666666666665E-3</v>
      </c>
      <c r="G92" s="27">
        <f>F92*E92</f>
        <v>0.20729166666666665</v>
      </c>
      <c r="H92" s="27">
        <f>G92*8*I92</f>
        <v>0.4145833333333333</v>
      </c>
      <c r="I92" s="28">
        <v>0.25</v>
      </c>
      <c r="J92" s="28"/>
      <c r="K92" s="27">
        <f>(G92/D92)*I92</f>
        <v>3.2389322916666667E-4</v>
      </c>
      <c r="L92" s="29">
        <v>2.6962999999999998E-4</v>
      </c>
      <c r="M92" s="29">
        <f>L92*D92*8</f>
        <v>0.34512639999999994</v>
      </c>
      <c r="N92" s="30">
        <f>L92-K92</f>
        <v>-5.4263229166666687E-5</v>
      </c>
      <c r="O92" s="36"/>
    </row>
    <row r="93" spans="1:15" x14ac:dyDescent="0.2">
      <c r="A93" s="23"/>
      <c r="B93" s="25"/>
      <c r="C93" s="25"/>
      <c r="D93" s="25"/>
      <c r="E93" s="32"/>
      <c r="F93" s="33"/>
      <c r="G93" s="34">
        <f>SUM(G92:G92)</f>
        <v>0.20729166666666665</v>
      </c>
      <c r="H93" s="34">
        <f>SUM(H92:H92)</f>
        <v>0.4145833333333333</v>
      </c>
      <c r="I93" s="25"/>
      <c r="J93" s="25"/>
      <c r="K93" s="34">
        <f>SUM(K92:K92)</f>
        <v>3.2389322916666667E-4</v>
      </c>
      <c r="L93" s="34">
        <f>SUM(L92:L92)</f>
        <v>2.6962999999999998E-4</v>
      </c>
      <c r="M93" s="34">
        <f>SUM(M92:M92)</f>
        <v>0.34512639999999994</v>
      </c>
      <c r="N93" s="30">
        <f>SUM(N92:N92)</f>
        <v>-5.4263229166666687E-5</v>
      </c>
      <c r="O93" s="35"/>
    </row>
    <row r="94" spans="1:15" s="15" customFormat="1" x14ac:dyDescent="0.2">
      <c r="A94" s="47" t="s">
        <v>99</v>
      </c>
      <c r="B94" s="48"/>
      <c r="C94" s="48"/>
      <c r="D94" s="48"/>
      <c r="E94" s="48"/>
      <c r="F94" s="48"/>
      <c r="G94" s="48"/>
      <c r="H94" s="48"/>
      <c r="I94" s="48"/>
      <c r="J94" s="48"/>
      <c r="K94" s="48"/>
      <c r="L94" s="48"/>
      <c r="M94" s="48"/>
      <c r="N94" s="48"/>
      <c r="O94" s="48"/>
    </row>
    <row r="95" spans="1:15" x14ac:dyDescent="0.2">
      <c r="A95" s="16" t="s">
        <v>0</v>
      </c>
      <c r="B95" s="16" t="s">
        <v>7</v>
      </c>
      <c r="C95" s="16" t="s">
        <v>0</v>
      </c>
      <c r="D95" s="16" t="s">
        <v>1</v>
      </c>
      <c r="E95" s="17" t="s">
        <v>9</v>
      </c>
      <c r="F95" s="17" t="s">
        <v>2</v>
      </c>
      <c r="G95" s="18" t="s">
        <v>3</v>
      </c>
      <c r="H95" s="18" t="s">
        <v>8</v>
      </c>
      <c r="I95" s="19" t="s">
        <v>4</v>
      </c>
      <c r="J95" s="19" t="s">
        <v>60</v>
      </c>
      <c r="K95" s="20" t="s">
        <v>5</v>
      </c>
      <c r="L95" s="21" t="s">
        <v>10</v>
      </c>
      <c r="M95" s="21" t="s">
        <v>12</v>
      </c>
      <c r="N95" s="21" t="s">
        <v>11</v>
      </c>
      <c r="O95" s="22" t="s">
        <v>6</v>
      </c>
    </row>
    <row r="96" spans="1:15" x14ac:dyDescent="0.2">
      <c r="A96" s="37" t="s">
        <v>80</v>
      </c>
      <c r="B96" s="24" t="s">
        <v>15</v>
      </c>
      <c r="C96" s="25" t="s">
        <v>43</v>
      </c>
      <c r="D96" s="25">
        <v>640</v>
      </c>
      <c r="E96" s="26">
        <v>640</v>
      </c>
      <c r="F96" s="13">
        <f>1/384</f>
        <v>2.6041666666666665E-3</v>
      </c>
      <c r="G96" s="27">
        <f>F96*E96</f>
        <v>1.6666666666666665</v>
      </c>
      <c r="H96" s="27">
        <f>G96*8*I96</f>
        <v>3.333333333333333</v>
      </c>
      <c r="I96" s="28">
        <v>0.25</v>
      </c>
      <c r="J96" s="28"/>
      <c r="K96" s="27">
        <f>(G96/D96)*I96</f>
        <v>6.5104166666666663E-4</v>
      </c>
      <c r="L96" s="29">
        <v>6.5103999999999997E-4</v>
      </c>
      <c r="M96" s="29">
        <f>L96*D96*8</f>
        <v>3.3333247999999998</v>
      </c>
      <c r="N96" s="30">
        <f>L96-K96</f>
        <v>-1.6666666666567687E-9</v>
      </c>
      <c r="O96" s="36"/>
    </row>
    <row r="97" spans="1:15" x14ac:dyDescent="0.2">
      <c r="A97" s="23"/>
      <c r="B97" s="25"/>
      <c r="C97" s="25"/>
      <c r="D97" s="25"/>
      <c r="E97" s="32"/>
      <c r="F97" s="33"/>
      <c r="G97" s="34">
        <f>SUM(G96:G96)</f>
        <v>1.6666666666666665</v>
      </c>
      <c r="H97" s="34">
        <f>SUM(H96:H96)</f>
        <v>3.333333333333333</v>
      </c>
      <c r="I97" s="25"/>
      <c r="J97" s="25"/>
      <c r="K97" s="34">
        <f>SUM(K96:K96)</f>
        <v>6.5104166666666663E-4</v>
      </c>
      <c r="L97" s="34">
        <f>SUM(L96:L96)</f>
        <v>6.5103999999999997E-4</v>
      </c>
      <c r="M97" s="34">
        <f>SUM(M96:M96)</f>
        <v>3.3333247999999998</v>
      </c>
      <c r="N97" s="30">
        <f>SUM(N96:N96)</f>
        <v>-1.6666666666567687E-9</v>
      </c>
      <c r="O97" s="35"/>
    </row>
    <row r="98" spans="1:15" s="15" customFormat="1" x14ac:dyDescent="0.2">
      <c r="A98" s="47" t="s">
        <v>99</v>
      </c>
      <c r="B98" s="48"/>
      <c r="C98" s="48"/>
      <c r="D98" s="48"/>
      <c r="E98" s="48"/>
      <c r="F98" s="48"/>
      <c r="G98" s="48"/>
      <c r="H98" s="48"/>
      <c r="I98" s="48"/>
      <c r="J98" s="48"/>
      <c r="K98" s="48"/>
      <c r="L98" s="48"/>
      <c r="M98" s="48"/>
      <c r="N98" s="48"/>
      <c r="O98" s="48"/>
    </row>
    <row r="99" spans="1:15" x14ac:dyDescent="0.2">
      <c r="A99" s="16" t="s">
        <v>0</v>
      </c>
      <c r="B99" s="16" t="s">
        <v>7</v>
      </c>
      <c r="C99" s="16" t="s">
        <v>0</v>
      </c>
      <c r="D99" s="16" t="s">
        <v>1</v>
      </c>
      <c r="E99" s="17" t="s">
        <v>9</v>
      </c>
      <c r="F99" s="17" t="s">
        <v>2</v>
      </c>
      <c r="G99" s="18" t="s">
        <v>3</v>
      </c>
      <c r="H99" s="18" t="s">
        <v>8</v>
      </c>
      <c r="I99" s="19" t="s">
        <v>4</v>
      </c>
      <c r="J99" s="19" t="s">
        <v>60</v>
      </c>
      <c r="K99" s="20" t="s">
        <v>5</v>
      </c>
      <c r="L99" s="21" t="s">
        <v>10</v>
      </c>
      <c r="M99" s="21" t="s">
        <v>12</v>
      </c>
      <c r="N99" s="21" t="s">
        <v>11</v>
      </c>
      <c r="O99" s="22" t="s">
        <v>6</v>
      </c>
    </row>
    <row r="100" spans="1:15" x14ac:dyDescent="0.2">
      <c r="A100" s="37" t="s">
        <v>80</v>
      </c>
      <c r="B100" s="24" t="s">
        <v>15</v>
      </c>
      <c r="C100" s="25" t="s">
        <v>43</v>
      </c>
      <c r="D100" s="25">
        <v>335</v>
      </c>
      <c r="E100" s="26">
        <v>335</v>
      </c>
      <c r="F100" s="13">
        <f>1/384</f>
        <v>2.6041666666666665E-3</v>
      </c>
      <c r="G100" s="27">
        <f>F100*E100</f>
        <v>0.87239583333333326</v>
      </c>
      <c r="H100" s="27">
        <f>G100*8*I100</f>
        <v>1.7447916666666665</v>
      </c>
      <c r="I100" s="28">
        <v>0.25</v>
      </c>
      <c r="J100" s="28"/>
      <c r="K100" s="27">
        <f>(G100/D100)*I100</f>
        <v>6.5104166666666663E-4</v>
      </c>
      <c r="L100" s="29">
        <v>6.5103999999999997E-4</v>
      </c>
      <c r="M100" s="29">
        <f>L100*D100*8</f>
        <v>1.7447872</v>
      </c>
      <c r="N100" s="30">
        <f>L100-K100</f>
        <v>-1.6666666666567687E-9</v>
      </c>
      <c r="O100" s="36"/>
    </row>
    <row r="101" spans="1:15" x14ac:dyDescent="0.2">
      <c r="A101" s="23"/>
      <c r="B101" s="25"/>
      <c r="C101" s="25"/>
      <c r="D101" s="25"/>
      <c r="E101" s="32"/>
      <c r="F101" s="33"/>
      <c r="G101" s="34">
        <f>SUM(G100:G100)</f>
        <v>0.87239583333333326</v>
      </c>
      <c r="H101" s="34">
        <f>SUM(H100:H100)</f>
        <v>1.7447916666666665</v>
      </c>
      <c r="I101" s="25"/>
      <c r="J101" s="25"/>
      <c r="K101" s="34">
        <f>SUM(K100:K100)</f>
        <v>6.5104166666666663E-4</v>
      </c>
      <c r="L101" s="34">
        <f>SUM(L100:L100)</f>
        <v>6.5103999999999997E-4</v>
      </c>
      <c r="M101" s="34">
        <f>SUM(M100:M100)</f>
        <v>1.7447872</v>
      </c>
      <c r="N101" s="30">
        <f>SUM(N100:N100)</f>
        <v>-1.6666666666567687E-9</v>
      </c>
      <c r="O101" s="35"/>
    </row>
    <row r="102" spans="1:15" s="15" customFormat="1" x14ac:dyDescent="0.2">
      <c r="A102" s="47" t="s">
        <v>98</v>
      </c>
      <c r="B102" s="48"/>
      <c r="C102" s="48"/>
      <c r="D102" s="48"/>
      <c r="E102" s="48"/>
      <c r="F102" s="48"/>
      <c r="G102" s="48"/>
      <c r="H102" s="48"/>
      <c r="I102" s="48"/>
      <c r="J102" s="48"/>
      <c r="K102" s="48"/>
      <c r="L102" s="48"/>
      <c r="M102" s="48"/>
      <c r="N102" s="48"/>
      <c r="O102" s="48"/>
    </row>
    <row r="103" spans="1:15" x14ac:dyDescent="0.2">
      <c r="A103" s="16" t="s">
        <v>0</v>
      </c>
      <c r="B103" s="16" t="s">
        <v>7</v>
      </c>
      <c r="C103" s="16" t="s">
        <v>0</v>
      </c>
      <c r="D103" s="16" t="s">
        <v>1</v>
      </c>
      <c r="E103" s="17" t="s">
        <v>9</v>
      </c>
      <c r="F103" s="17" t="s">
        <v>2</v>
      </c>
      <c r="G103" s="18" t="s">
        <v>3</v>
      </c>
      <c r="H103" s="18" t="s">
        <v>8</v>
      </c>
      <c r="I103" s="19" t="s">
        <v>4</v>
      </c>
      <c r="J103" s="19" t="s">
        <v>60</v>
      </c>
      <c r="K103" s="20" t="s">
        <v>5</v>
      </c>
      <c r="L103" s="21" t="s">
        <v>10</v>
      </c>
      <c r="M103" s="21" t="s">
        <v>12</v>
      </c>
      <c r="N103" s="21" t="s">
        <v>11</v>
      </c>
      <c r="O103" s="22" t="s">
        <v>6</v>
      </c>
    </row>
    <row r="104" spans="1:15" x14ac:dyDescent="0.2">
      <c r="A104" s="37" t="s">
        <v>81</v>
      </c>
      <c r="B104" s="24" t="s">
        <v>15</v>
      </c>
      <c r="C104" s="25" t="s">
        <v>43</v>
      </c>
      <c r="D104" s="25">
        <v>320</v>
      </c>
      <c r="E104" s="26">
        <v>320</v>
      </c>
      <c r="F104" s="13">
        <f>1/384</f>
        <v>2.6041666666666665E-3</v>
      </c>
      <c r="G104" s="27">
        <f>F104*E104</f>
        <v>0.83333333333333326</v>
      </c>
      <c r="H104" s="27">
        <f>G104*8*I104</f>
        <v>1.6666666666666665</v>
      </c>
      <c r="I104" s="28">
        <v>0.25</v>
      </c>
      <c r="J104" s="28"/>
      <c r="K104" s="27">
        <f>(G104/D104)*I104</f>
        <v>6.5104166666666663E-4</v>
      </c>
      <c r="L104" s="29">
        <v>6.5103999999999997E-4</v>
      </c>
      <c r="M104" s="29">
        <f>L104*D104*8</f>
        <v>1.6666623999999999</v>
      </c>
      <c r="N104" s="30">
        <f>L104-K104</f>
        <v>-1.6666666666567687E-9</v>
      </c>
      <c r="O104" s="36"/>
    </row>
    <row r="105" spans="1:15" x14ac:dyDescent="0.2">
      <c r="A105" s="23"/>
      <c r="B105" s="25"/>
      <c r="C105" s="25"/>
      <c r="D105" s="25"/>
      <c r="E105" s="32"/>
      <c r="F105" s="33"/>
      <c r="G105" s="34">
        <f>SUM(G104:G104)</f>
        <v>0.83333333333333326</v>
      </c>
      <c r="H105" s="34">
        <f>SUM(H104:H104)</f>
        <v>1.6666666666666665</v>
      </c>
      <c r="I105" s="25"/>
      <c r="J105" s="25"/>
      <c r="K105" s="34">
        <f>SUM(K104:K104)</f>
        <v>6.5104166666666663E-4</v>
      </c>
      <c r="L105" s="34">
        <f>SUM(L104:L104)</f>
        <v>6.5103999999999997E-4</v>
      </c>
      <c r="M105" s="34">
        <f>SUM(M104:M104)</f>
        <v>1.6666623999999999</v>
      </c>
      <c r="N105" s="30">
        <f>SUM(N104:N104)</f>
        <v>-1.6666666666567687E-9</v>
      </c>
      <c r="O105" s="35"/>
    </row>
    <row r="106" spans="1:15" s="15" customFormat="1" x14ac:dyDescent="0.2">
      <c r="A106" s="47" t="s">
        <v>97</v>
      </c>
      <c r="B106" s="48"/>
      <c r="C106" s="48"/>
      <c r="D106" s="48"/>
      <c r="E106" s="48"/>
      <c r="F106" s="48"/>
      <c r="G106" s="48"/>
      <c r="H106" s="48"/>
      <c r="I106" s="48"/>
      <c r="J106" s="48"/>
      <c r="K106" s="48"/>
      <c r="L106" s="48"/>
      <c r="M106" s="48"/>
      <c r="N106" s="48"/>
      <c r="O106" s="48"/>
    </row>
    <row r="107" spans="1:15" x14ac:dyDescent="0.2">
      <c r="A107" s="16" t="s">
        <v>44</v>
      </c>
      <c r="B107" s="16" t="s">
        <v>7</v>
      </c>
      <c r="C107" s="16" t="s">
        <v>0</v>
      </c>
      <c r="D107" s="16" t="s">
        <v>1</v>
      </c>
      <c r="E107" s="17" t="s">
        <v>9</v>
      </c>
      <c r="F107" s="17" t="s">
        <v>2</v>
      </c>
      <c r="G107" s="18" t="s">
        <v>3</v>
      </c>
      <c r="H107" s="18" t="s">
        <v>8</v>
      </c>
      <c r="I107" s="19" t="s">
        <v>4</v>
      </c>
      <c r="J107" s="19" t="s">
        <v>60</v>
      </c>
      <c r="K107" s="20" t="s">
        <v>5</v>
      </c>
      <c r="L107" s="21" t="s">
        <v>10</v>
      </c>
      <c r="M107" s="21" t="s">
        <v>12</v>
      </c>
      <c r="N107" s="21" t="s">
        <v>11</v>
      </c>
      <c r="O107" s="22" t="s">
        <v>6</v>
      </c>
    </row>
    <row r="108" spans="1:15" x14ac:dyDescent="0.2">
      <c r="A108" s="37" t="s">
        <v>82</v>
      </c>
      <c r="B108" s="24" t="s">
        <v>15</v>
      </c>
      <c r="C108" s="25" t="s">
        <v>72</v>
      </c>
      <c r="D108" s="25">
        <v>1317.3</v>
      </c>
      <c r="E108" s="26">
        <v>639.1</v>
      </c>
      <c r="F108" s="13">
        <f>1/384</f>
        <v>2.6041666666666665E-3</v>
      </c>
      <c r="G108" s="27">
        <f>F108*E108</f>
        <v>1.6643229166666667</v>
      </c>
      <c r="H108" s="27">
        <f>G108*8*I108</f>
        <v>3.3286458333333333</v>
      </c>
      <c r="I108" s="28">
        <v>0.25</v>
      </c>
      <c r="J108" s="28">
        <f>(2668.6+2568.6)/15846.4</f>
        <v>0.33049777867528268</v>
      </c>
      <c r="K108" s="27">
        <f>J108*F108*I108</f>
        <v>2.1516782465838715E-4</v>
      </c>
      <c r="L108" s="29">
        <v>2.1465000000000001E-4</v>
      </c>
      <c r="M108" s="29">
        <f>(L108*E108*8)/J108</f>
        <v>3.3206350868647374</v>
      </c>
      <c r="N108" s="30">
        <f>L108-K108</f>
        <v>-5.1782465838713198E-7</v>
      </c>
      <c r="O108" s="36"/>
    </row>
    <row r="109" spans="1:15" x14ac:dyDescent="0.2">
      <c r="A109" s="23"/>
      <c r="B109" s="25"/>
      <c r="C109" s="25"/>
      <c r="D109" s="25"/>
      <c r="E109" s="32"/>
      <c r="F109" s="33"/>
      <c r="G109" s="34">
        <f>SUM(G108:G108)</f>
        <v>1.6643229166666667</v>
      </c>
      <c r="H109" s="34">
        <f>SUM(H108:H108)</f>
        <v>3.3286458333333333</v>
      </c>
      <c r="I109" s="25"/>
      <c r="J109" s="25"/>
      <c r="K109" s="34">
        <f>SUM(K108:K108)</f>
        <v>2.1516782465838715E-4</v>
      </c>
      <c r="L109" s="34">
        <f>SUM(L108:L108)</f>
        <v>2.1465000000000001E-4</v>
      </c>
      <c r="M109" s="34">
        <f>SUM(M108:M108)</f>
        <v>3.3206350868647374</v>
      </c>
      <c r="N109" s="30">
        <f>SUM(N108:N108)</f>
        <v>-5.1782465838713198E-7</v>
      </c>
      <c r="O109" s="35"/>
    </row>
    <row r="110" spans="1:15" s="15" customFormat="1" x14ac:dyDescent="0.2">
      <c r="A110" s="47" t="s">
        <v>96</v>
      </c>
      <c r="B110" s="48"/>
      <c r="C110" s="48"/>
      <c r="D110" s="48"/>
      <c r="E110" s="48"/>
      <c r="F110" s="48"/>
      <c r="G110" s="48"/>
      <c r="H110" s="48"/>
      <c r="I110" s="48"/>
      <c r="J110" s="48"/>
      <c r="K110" s="48"/>
      <c r="L110" s="48"/>
      <c r="M110" s="48"/>
      <c r="N110" s="48"/>
      <c r="O110" s="48"/>
    </row>
    <row r="111" spans="1:15" x14ac:dyDescent="0.2">
      <c r="A111" s="16" t="s">
        <v>44</v>
      </c>
      <c r="B111" s="16" t="s">
        <v>7</v>
      </c>
      <c r="C111" s="16" t="s">
        <v>0</v>
      </c>
      <c r="D111" s="16" t="s">
        <v>1</v>
      </c>
      <c r="E111" s="17" t="s">
        <v>9</v>
      </c>
      <c r="F111" s="17" t="s">
        <v>2</v>
      </c>
      <c r="G111" s="18" t="s">
        <v>3</v>
      </c>
      <c r="H111" s="18" t="s">
        <v>8</v>
      </c>
      <c r="I111" s="19" t="s">
        <v>4</v>
      </c>
      <c r="J111" s="19" t="s">
        <v>60</v>
      </c>
      <c r="K111" s="20" t="s">
        <v>5</v>
      </c>
      <c r="L111" s="21" t="s">
        <v>10</v>
      </c>
      <c r="M111" s="21" t="s">
        <v>12</v>
      </c>
      <c r="N111" s="21" t="s">
        <v>11</v>
      </c>
      <c r="O111" s="22" t="s">
        <v>6</v>
      </c>
    </row>
    <row r="112" spans="1:15" x14ac:dyDescent="0.2">
      <c r="A112" s="37" t="s">
        <v>82</v>
      </c>
      <c r="B112" s="24" t="s">
        <v>15</v>
      </c>
      <c r="C112" s="25" t="s">
        <v>73</v>
      </c>
      <c r="D112" s="25">
        <v>1317.3</v>
      </c>
      <c r="E112" s="26">
        <v>639.1</v>
      </c>
      <c r="F112" s="13">
        <f>1/384</f>
        <v>2.6041666666666665E-3</v>
      </c>
      <c r="G112" s="27">
        <f>F112*E112</f>
        <v>1.6643229166666667</v>
      </c>
      <c r="H112" s="27">
        <f>G112*8*I112</f>
        <v>3.3286458333333333</v>
      </c>
      <c r="I112" s="28">
        <v>0.25</v>
      </c>
      <c r="J112" s="28">
        <f>(2668.6+2568.5)/15846.8</f>
        <v>0.33048312593078732</v>
      </c>
      <c r="K112" s="27">
        <f>J112*F112*I112</f>
        <v>2.1515828511118966E-4</v>
      </c>
      <c r="L112" s="29">
        <v>2.1477000000000001E-4</v>
      </c>
      <c r="M112" s="29">
        <f>(L112*E112*8)/J112</f>
        <v>3.3226387970863263</v>
      </c>
      <c r="N112" s="30">
        <f>L112-K112</f>
        <v>-3.8828511118965919E-7</v>
      </c>
      <c r="O112" s="36"/>
    </row>
    <row r="113" spans="1:15" x14ac:dyDescent="0.2">
      <c r="A113" s="23"/>
      <c r="B113" s="25"/>
      <c r="C113" s="25"/>
      <c r="D113" s="25"/>
      <c r="E113" s="32"/>
      <c r="F113" s="33"/>
      <c r="G113" s="34">
        <f>SUM(G112:G112)</f>
        <v>1.6643229166666667</v>
      </c>
      <c r="H113" s="34">
        <f>SUM(H112:H112)</f>
        <v>3.3286458333333333</v>
      </c>
      <c r="I113" s="25"/>
      <c r="J113" s="25"/>
      <c r="K113" s="34">
        <f>SUM(K112:K112)</f>
        <v>2.1515828511118966E-4</v>
      </c>
      <c r="L113" s="34">
        <f>SUM(L112:L112)</f>
        <v>2.1477000000000001E-4</v>
      </c>
      <c r="M113" s="34">
        <f>SUM(M112:M112)</f>
        <v>3.3226387970863263</v>
      </c>
      <c r="N113" s="30">
        <f>SUM(N112:N112)</f>
        <v>-3.8828511118965919E-7</v>
      </c>
      <c r="O113" s="35"/>
    </row>
    <row r="114" spans="1:15" s="15" customFormat="1" x14ac:dyDescent="0.2">
      <c r="A114" s="47" t="s">
        <v>95</v>
      </c>
      <c r="B114" s="48"/>
      <c r="C114" s="48"/>
      <c r="D114" s="48"/>
      <c r="E114" s="48"/>
      <c r="F114" s="48"/>
      <c r="G114" s="48"/>
      <c r="H114" s="48"/>
      <c r="I114" s="48"/>
      <c r="J114" s="48"/>
      <c r="K114" s="48"/>
      <c r="L114" s="48"/>
      <c r="M114" s="48"/>
      <c r="N114" s="48"/>
      <c r="O114" s="48"/>
    </row>
    <row r="115" spans="1:15" x14ac:dyDescent="0.2">
      <c r="A115" s="16" t="s">
        <v>44</v>
      </c>
      <c r="B115" s="16" t="s">
        <v>7</v>
      </c>
      <c r="C115" s="16" t="s">
        <v>0</v>
      </c>
      <c r="D115" s="16" t="s">
        <v>1</v>
      </c>
      <c r="E115" s="17" t="s">
        <v>9</v>
      </c>
      <c r="F115" s="17" t="s">
        <v>2</v>
      </c>
      <c r="G115" s="18" t="s">
        <v>3</v>
      </c>
      <c r="H115" s="18" t="s">
        <v>8</v>
      </c>
      <c r="I115" s="19" t="s">
        <v>4</v>
      </c>
      <c r="J115" s="19" t="s">
        <v>60</v>
      </c>
      <c r="K115" s="20" t="s">
        <v>5</v>
      </c>
      <c r="L115" s="21" t="s">
        <v>10</v>
      </c>
      <c r="M115" s="21" t="s">
        <v>12</v>
      </c>
      <c r="N115" s="21" t="s">
        <v>11</v>
      </c>
      <c r="O115" s="22" t="s">
        <v>6</v>
      </c>
    </row>
    <row r="116" spans="1:15" x14ac:dyDescent="0.2">
      <c r="A116" s="37" t="s">
        <v>82</v>
      </c>
      <c r="B116" s="24" t="s">
        <v>15</v>
      </c>
      <c r="C116" s="25" t="s">
        <v>74</v>
      </c>
      <c r="D116" s="25">
        <v>1317.3</v>
      </c>
      <c r="E116" s="26">
        <v>639.1</v>
      </c>
      <c r="F116" s="13">
        <f>1/384</f>
        <v>2.6041666666666665E-3</v>
      </c>
      <c r="G116" s="27">
        <f>F116*E116</f>
        <v>1.6643229166666667</v>
      </c>
      <c r="H116" s="27">
        <f>G116*8*I116</f>
        <v>3.3286458333333333</v>
      </c>
      <c r="I116" s="28">
        <v>0.25</v>
      </c>
      <c r="J116" s="28">
        <f>(2668.5+2568.5)/15848</f>
        <v>0.3304517920242302</v>
      </c>
      <c r="K116" s="27">
        <f>J116*F116*I116</f>
        <v>2.1513788543244152E-4</v>
      </c>
      <c r="L116" s="29">
        <v>2.1465000000000001E-4</v>
      </c>
      <c r="M116" s="29">
        <f>(L116*E116*8)/J116</f>
        <v>3.3210971962879512</v>
      </c>
      <c r="N116" s="30">
        <f>L116-K116</f>
        <v>-4.8788543244150206E-7</v>
      </c>
      <c r="O116" s="36"/>
    </row>
    <row r="117" spans="1:15" x14ac:dyDescent="0.2">
      <c r="A117" s="23"/>
      <c r="B117" s="25"/>
      <c r="C117" s="25"/>
      <c r="D117" s="25"/>
      <c r="E117" s="32"/>
      <c r="F117" s="33"/>
      <c r="G117" s="34">
        <f>SUM(G116:G116)</f>
        <v>1.6643229166666667</v>
      </c>
      <c r="H117" s="34">
        <f>SUM(H116:H116)</f>
        <v>3.3286458333333333</v>
      </c>
      <c r="I117" s="25"/>
      <c r="J117" s="25"/>
      <c r="K117" s="34">
        <f>SUM(K116:K116)</f>
        <v>2.1513788543244152E-4</v>
      </c>
      <c r="L117" s="34">
        <f>SUM(L116:L116)</f>
        <v>2.1465000000000001E-4</v>
      </c>
      <c r="M117" s="34">
        <f>SUM(M116:M116)</f>
        <v>3.3210971962879512</v>
      </c>
      <c r="N117" s="30">
        <f>SUM(N116:N116)</f>
        <v>-4.8788543244150206E-7</v>
      </c>
      <c r="O117" s="35"/>
    </row>
    <row r="118" spans="1:15" s="15" customFormat="1" x14ac:dyDescent="0.2">
      <c r="A118" s="47" t="s">
        <v>94</v>
      </c>
      <c r="B118" s="48"/>
      <c r="C118" s="48"/>
      <c r="D118" s="48"/>
      <c r="E118" s="48"/>
      <c r="F118" s="48"/>
      <c r="G118" s="48"/>
      <c r="H118" s="48"/>
      <c r="I118" s="48"/>
      <c r="J118" s="48"/>
      <c r="K118" s="48"/>
      <c r="L118" s="48"/>
      <c r="M118" s="48"/>
      <c r="N118" s="48"/>
      <c r="O118" s="48"/>
    </row>
    <row r="119" spans="1:15" x14ac:dyDescent="0.2">
      <c r="A119" s="16" t="s">
        <v>44</v>
      </c>
      <c r="B119" s="16" t="s">
        <v>7</v>
      </c>
      <c r="C119" s="16" t="s">
        <v>0</v>
      </c>
      <c r="D119" s="16" t="s">
        <v>1</v>
      </c>
      <c r="E119" s="17" t="s">
        <v>9</v>
      </c>
      <c r="F119" s="17" t="s">
        <v>2</v>
      </c>
      <c r="G119" s="18" t="s">
        <v>3</v>
      </c>
      <c r="H119" s="18" t="s">
        <v>8</v>
      </c>
      <c r="I119" s="19" t="s">
        <v>4</v>
      </c>
      <c r="J119" s="19" t="s">
        <v>60</v>
      </c>
      <c r="K119" s="20" t="s">
        <v>5</v>
      </c>
      <c r="L119" s="21" t="s">
        <v>10</v>
      </c>
      <c r="M119" s="21" t="s">
        <v>12</v>
      </c>
      <c r="N119" s="21" t="s">
        <v>11</v>
      </c>
      <c r="O119" s="22" t="s">
        <v>6</v>
      </c>
    </row>
    <row r="120" spans="1:15" x14ac:dyDescent="0.2">
      <c r="A120" s="37" t="s">
        <v>82</v>
      </c>
      <c r="B120" s="24" t="s">
        <v>15</v>
      </c>
      <c r="C120" s="25" t="s">
        <v>75</v>
      </c>
      <c r="D120" s="25">
        <v>1317.3</v>
      </c>
      <c r="E120" s="26">
        <v>639.1</v>
      </c>
      <c r="F120" s="13">
        <f>1/384</f>
        <v>2.6041666666666665E-3</v>
      </c>
      <c r="G120" s="27">
        <f>F120*E120</f>
        <v>1.6643229166666667</v>
      </c>
      <c r="H120" s="27">
        <f>G120*8*I120</f>
        <v>3.3286458333333333</v>
      </c>
      <c r="I120" s="28">
        <v>0.25</v>
      </c>
      <c r="J120" s="28">
        <f>(2668.2+2568.2)/15852.7</f>
        <v>0.33031597141180996</v>
      </c>
      <c r="K120" s="27">
        <f>J120*F120*I120</f>
        <v>2.1504946055456376E-4</v>
      </c>
      <c r="L120" s="29">
        <v>2.1457E-4</v>
      </c>
      <c r="M120" s="29">
        <f>(L120*E120*8)/J120</f>
        <v>3.3212244969901459</v>
      </c>
      <c r="N120" s="30">
        <f>L120-K120</f>
        <v>-4.7946055456375811E-7</v>
      </c>
      <c r="O120" s="36"/>
    </row>
    <row r="121" spans="1:15" x14ac:dyDescent="0.2">
      <c r="A121" s="23"/>
      <c r="B121" s="25"/>
      <c r="C121" s="25"/>
      <c r="D121" s="25"/>
      <c r="E121" s="32"/>
      <c r="F121" s="33"/>
      <c r="G121" s="34">
        <f>SUM(G120:G120)</f>
        <v>1.6643229166666667</v>
      </c>
      <c r="H121" s="34">
        <f>SUM(H120:H120)</f>
        <v>3.3286458333333333</v>
      </c>
      <c r="I121" s="25"/>
      <c r="J121" s="25"/>
      <c r="K121" s="34">
        <f>SUM(K120:K120)</f>
        <v>2.1504946055456376E-4</v>
      </c>
      <c r="L121" s="34">
        <f>SUM(L120:L120)</f>
        <v>2.1457E-4</v>
      </c>
      <c r="M121" s="34">
        <f>SUM(M120:M120)</f>
        <v>3.3212244969901459</v>
      </c>
      <c r="N121" s="30">
        <f>SUM(N120:N120)</f>
        <v>-4.7946055456375811E-7</v>
      </c>
      <c r="O121" s="35"/>
    </row>
    <row r="122" spans="1:15" s="15" customFormat="1" x14ac:dyDescent="0.2">
      <c r="A122" s="47" t="s">
        <v>93</v>
      </c>
      <c r="B122" s="48"/>
      <c r="C122" s="48"/>
      <c r="D122" s="48"/>
      <c r="E122" s="48"/>
      <c r="F122" s="48"/>
      <c r="G122" s="48"/>
      <c r="H122" s="48"/>
      <c r="I122" s="48"/>
      <c r="J122" s="48"/>
      <c r="K122" s="48"/>
      <c r="L122" s="48"/>
      <c r="M122" s="48"/>
      <c r="N122" s="48"/>
      <c r="O122" s="48"/>
    </row>
    <row r="123" spans="1:15" x14ac:dyDescent="0.2">
      <c r="A123" s="16" t="s">
        <v>44</v>
      </c>
      <c r="B123" s="16" t="s">
        <v>7</v>
      </c>
      <c r="C123" s="16" t="s">
        <v>0</v>
      </c>
      <c r="D123" s="16" t="s">
        <v>1</v>
      </c>
      <c r="E123" s="17" t="s">
        <v>9</v>
      </c>
      <c r="F123" s="17" t="s">
        <v>2</v>
      </c>
      <c r="G123" s="18" t="s">
        <v>3</v>
      </c>
      <c r="H123" s="18" t="s">
        <v>8</v>
      </c>
      <c r="I123" s="19" t="s">
        <v>4</v>
      </c>
      <c r="J123" s="19" t="s">
        <v>60</v>
      </c>
      <c r="K123" s="20" t="s">
        <v>5</v>
      </c>
      <c r="L123" s="21" t="s">
        <v>10</v>
      </c>
      <c r="M123" s="21" t="s">
        <v>12</v>
      </c>
      <c r="N123" s="21" t="s">
        <v>11</v>
      </c>
      <c r="O123" s="22" t="s">
        <v>6</v>
      </c>
    </row>
    <row r="124" spans="1:15" x14ac:dyDescent="0.2">
      <c r="A124" s="37" t="s">
        <v>82</v>
      </c>
      <c r="B124" s="24" t="s">
        <v>15</v>
      </c>
      <c r="C124" s="25" t="s">
        <v>76</v>
      </c>
      <c r="D124" s="25">
        <v>1317.3</v>
      </c>
      <c r="E124" s="26">
        <v>639.1</v>
      </c>
      <c r="F124" s="13">
        <f>1/384</f>
        <v>2.6041666666666665E-3</v>
      </c>
      <c r="G124" s="27">
        <f>F124*E124</f>
        <v>1.6643229166666667</v>
      </c>
      <c r="H124" s="27">
        <f>G124*8*I124</f>
        <v>3.3286458333333333</v>
      </c>
      <c r="I124" s="28">
        <v>0.25</v>
      </c>
      <c r="J124" s="28">
        <f>(2668.2+2568.2)/15851.5</f>
        <v>0.33034097719458722</v>
      </c>
      <c r="K124" s="27">
        <f>J124*F124*I124</f>
        <v>2.1506574036105937E-4</v>
      </c>
      <c r="L124" s="29">
        <v>2.1484999999999999E-4</v>
      </c>
      <c r="M124" s="29">
        <f>(L124*E124*8)/J124</f>
        <v>3.3253067461653045</v>
      </c>
      <c r="N124" s="30">
        <f>L124-K124</f>
        <v>-2.1574036105937583E-7</v>
      </c>
      <c r="O124" s="36"/>
    </row>
    <row r="125" spans="1:15" x14ac:dyDescent="0.2">
      <c r="A125" s="23"/>
      <c r="B125" s="25"/>
      <c r="C125" s="25"/>
      <c r="D125" s="25"/>
      <c r="E125" s="32"/>
      <c r="F125" s="33"/>
      <c r="G125" s="34">
        <f>SUM(G124:G124)</f>
        <v>1.6643229166666667</v>
      </c>
      <c r="H125" s="34">
        <f>SUM(H124:H124)</f>
        <v>3.3286458333333333</v>
      </c>
      <c r="I125" s="25"/>
      <c r="J125" s="25"/>
      <c r="K125" s="34">
        <f>SUM(K124:K124)</f>
        <v>2.1506574036105937E-4</v>
      </c>
      <c r="L125" s="34">
        <f>SUM(L124:L124)</f>
        <v>2.1484999999999999E-4</v>
      </c>
      <c r="M125" s="34">
        <f>SUM(M124:M124)</f>
        <v>3.3253067461653045</v>
      </c>
      <c r="N125" s="30">
        <f>SUM(N124:N124)</f>
        <v>-2.1574036105937583E-7</v>
      </c>
      <c r="O125" s="35"/>
    </row>
    <row r="126" spans="1:15" s="15" customFormat="1" x14ac:dyDescent="0.2">
      <c r="A126" s="47" t="s">
        <v>92</v>
      </c>
      <c r="B126" s="48"/>
      <c r="C126" s="48"/>
      <c r="D126" s="48"/>
      <c r="E126" s="48"/>
      <c r="F126" s="48"/>
      <c r="G126" s="48"/>
      <c r="H126" s="48"/>
      <c r="I126" s="48"/>
      <c r="J126" s="48"/>
      <c r="K126" s="48"/>
      <c r="L126" s="48"/>
      <c r="M126" s="48"/>
      <c r="N126" s="48"/>
      <c r="O126" s="48"/>
    </row>
    <row r="127" spans="1:15" x14ac:dyDescent="0.2">
      <c r="A127" s="16" t="s">
        <v>0</v>
      </c>
      <c r="B127" s="16" t="s">
        <v>7</v>
      </c>
      <c r="C127" s="16" t="s">
        <v>0</v>
      </c>
      <c r="D127" s="16" t="s">
        <v>1</v>
      </c>
      <c r="E127" s="17" t="s">
        <v>9</v>
      </c>
      <c r="F127" s="17" t="s">
        <v>2</v>
      </c>
      <c r="G127" s="18" t="s">
        <v>3</v>
      </c>
      <c r="H127" s="18" t="s">
        <v>8</v>
      </c>
      <c r="I127" s="19" t="s">
        <v>4</v>
      </c>
      <c r="J127" s="19" t="s">
        <v>60</v>
      </c>
      <c r="K127" s="20" t="s">
        <v>5</v>
      </c>
      <c r="L127" s="21" t="s">
        <v>10</v>
      </c>
      <c r="M127" s="21" t="s">
        <v>12</v>
      </c>
      <c r="N127" s="21" t="s">
        <v>11</v>
      </c>
      <c r="O127" s="22" t="s">
        <v>6</v>
      </c>
    </row>
    <row r="128" spans="1:15" ht="30" x14ac:dyDescent="0.2">
      <c r="A128" s="37" t="s">
        <v>83</v>
      </c>
      <c r="B128" s="24" t="s">
        <v>15</v>
      </c>
      <c r="C128" s="25" t="s">
        <v>45</v>
      </c>
      <c r="D128" s="25">
        <v>670</v>
      </c>
      <c r="E128" s="26">
        <v>335</v>
      </c>
      <c r="F128" s="13">
        <f>1/384</f>
        <v>2.6041666666666665E-3</v>
      </c>
      <c r="G128" s="27">
        <f>F128*E128</f>
        <v>0.87239583333333326</v>
      </c>
      <c r="H128" s="27">
        <f>G128*8*I128</f>
        <v>1.7447916666666665</v>
      </c>
      <c r="I128" s="28">
        <v>0.25</v>
      </c>
      <c r="J128" s="28"/>
      <c r="K128" s="27">
        <f>(G128/D128)*I128</f>
        <v>3.2552083333333332E-4</v>
      </c>
      <c r="L128" s="29">
        <v>3.0714000000000002E-4</v>
      </c>
      <c r="M128" s="29">
        <f>L128*D128*8</f>
        <v>1.6462704000000001</v>
      </c>
      <c r="N128" s="30">
        <f>L128-K128</f>
        <v>-1.8380833333333298E-5</v>
      </c>
      <c r="O128" s="36" t="s">
        <v>77</v>
      </c>
    </row>
    <row r="129" spans="1:15" x14ac:dyDescent="0.2">
      <c r="A129" s="23"/>
      <c r="B129" s="25"/>
      <c r="C129" s="25"/>
      <c r="D129" s="25"/>
      <c r="E129" s="32"/>
      <c r="F129" s="33"/>
      <c r="G129" s="34">
        <f>SUM(G128:G128)</f>
        <v>0.87239583333333326</v>
      </c>
      <c r="H129" s="34">
        <f>SUM(H128:H128)</f>
        <v>1.7447916666666665</v>
      </c>
      <c r="I129" s="25"/>
      <c r="J129" s="25"/>
      <c r="K129" s="34">
        <f>SUM(K128:K128)</f>
        <v>3.2552083333333332E-4</v>
      </c>
      <c r="L129" s="34">
        <f>SUM(L128:L128)</f>
        <v>3.0714000000000002E-4</v>
      </c>
      <c r="M129" s="34">
        <f>SUM(M128:M128)</f>
        <v>1.6462704000000001</v>
      </c>
      <c r="N129" s="30">
        <f>SUM(N128:N128)</f>
        <v>-1.8380833333333298E-5</v>
      </c>
      <c r="O129" s="35"/>
    </row>
    <row r="130" spans="1:15" s="15" customFormat="1" x14ac:dyDescent="0.2">
      <c r="A130" s="47" t="s">
        <v>91</v>
      </c>
      <c r="B130" s="48"/>
      <c r="C130" s="48"/>
      <c r="D130" s="48"/>
      <c r="E130" s="48"/>
      <c r="F130" s="48"/>
      <c r="G130" s="48"/>
      <c r="H130" s="48"/>
      <c r="I130" s="48"/>
      <c r="J130" s="48"/>
      <c r="K130" s="48"/>
      <c r="L130" s="48"/>
      <c r="M130" s="48"/>
      <c r="N130" s="48"/>
      <c r="O130" s="48"/>
    </row>
    <row r="131" spans="1:15" x14ac:dyDescent="0.2">
      <c r="A131" s="16" t="s">
        <v>0</v>
      </c>
      <c r="B131" s="16" t="s">
        <v>7</v>
      </c>
      <c r="C131" s="16" t="s">
        <v>0</v>
      </c>
      <c r="D131" s="16" t="s">
        <v>1</v>
      </c>
      <c r="E131" s="17" t="s">
        <v>9</v>
      </c>
      <c r="F131" s="17" t="s">
        <v>2</v>
      </c>
      <c r="G131" s="18" t="s">
        <v>3</v>
      </c>
      <c r="H131" s="18" t="s">
        <v>8</v>
      </c>
      <c r="I131" s="19" t="s">
        <v>4</v>
      </c>
      <c r="J131" s="19" t="s">
        <v>60</v>
      </c>
      <c r="K131" s="20" t="s">
        <v>5</v>
      </c>
      <c r="L131" s="21" t="s">
        <v>10</v>
      </c>
      <c r="M131" s="21" t="s">
        <v>12</v>
      </c>
      <c r="N131" s="21" t="s">
        <v>11</v>
      </c>
      <c r="O131" s="22" t="s">
        <v>6</v>
      </c>
    </row>
    <row r="132" spans="1:15" ht="30" x14ac:dyDescent="0.2">
      <c r="A132" s="37" t="s">
        <v>83</v>
      </c>
      <c r="B132" s="24" t="s">
        <v>15</v>
      </c>
      <c r="C132" s="25" t="s">
        <v>46</v>
      </c>
      <c r="D132" s="25">
        <v>640</v>
      </c>
      <c r="E132" s="26">
        <v>320</v>
      </c>
      <c r="F132" s="13">
        <f>1/384</f>
        <v>2.6041666666666665E-3</v>
      </c>
      <c r="G132" s="27">
        <f>F132*E132</f>
        <v>0.83333333333333326</v>
      </c>
      <c r="H132" s="27">
        <f>G132*8*I132</f>
        <v>1.6666666666666665</v>
      </c>
      <c r="I132" s="28">
        <v>0.25</v>
      </c>
      <c r="J132" s="28"/>
      <c r="K132" s="27">
        <f>(G132/D132)*I132</f>
        <v>3.2552083333333332E-4</v>
      </c>
      <c r="L132" s="29">
        <v>3.2266E-4</v>
      </c>
      <c r="M132" s="29">
        <f>L132*D132*8</f>
        <v>1.6520192</v>
      </c>
      <c r="N132" s="30">
        <f>L132-K132</f>
        <v>-2.8608333333333112E-6</v>
      </c>
      <c r="O132" s="36" t="s">
        <v>77</v>
      </c>
    </row>
    <row r="133" spans="1:15" x14ac:dyDescent="0.2">
      <c r="A133" s="23"/>
      <c r="B133" s="25"/>
      <c r="C133" s="25"/>
      <c r="D133" s="25"/>
      <c r="E133" s="32"/>
      <c r="F133" s="33"/>
      <c r="G133" s="34">
        <f>SUM(G132:G132)</f>
        <v>0.83333333333333326</v>
      </c>
      <c r="H133" s="34">
        <f>SUM(H132:H132)</f>
        <v>1.6666666666666665</v>
      </c>
      <c r="I133" s="25"/>
      <c r="J133" s="25"/>
      <c r="K133" s="34">
        <f>SUM(K132:K132)</f>
        <v>3.2552083333333332E-4</v>
      </c>
      <c r="L133" s="34">
        <f>SUM(L132:L132)</f>
        <v>3.2266E-4</v>
      </c>
      <c r="M133" s="34">
        <f>SUM(M132:M132)</f>
        <v>1.6520192</v>
      </c>
      <c r="N133" s="30">
        <f>SUM(N132:N132)</f>
        <v>-2.8608333333333112E-6</v>
      </c>
      <c r="O133" s="35"/>
    </row>
    <row r="134" spans="1:15" s="15" customFormat="1" x14ac:dyDescent="0.2">
      <c r="A134" s="47" t="s">
        <v>90</v>
      </c>
      <c r="B134" s="48"/>
      <c r="C134" s="48"/>
      <c r="D134" s="48"/>
      <c r="E134" s="48"/>
      <c r="F134" s="48"/>
      <c r="G134" s="48"/>
      <c r="H134" s="48"/>
      <c r="I134" s="48"/>
      <c r="J134" s="48"/>
      <c r="K134" s="48"/>
      <c r="L134" s="48"/>
      <c r="M134" s="48"/>
      <c r="N134" s="48"/>
      <c r="O134" s="48"/>
    </row>
    <row r="135" spans="1:15" x14ac:dyDescent="0.2">
      <c r="A135" s="16" t="s">
        <v>0</v>
      </c>
      <c r="B135" s="16" t="s">
        <v>7</v>
      </c>
      <c r="C135" s="16" t="s">
        <v>0</v>
      </c>
      <c r="D135" s="16" t="s">
        <v>1</v>
      </c>
      <c r="E135" s="17" t="s">
        <v>9</v>
      </c>
      <c r="F135" s="17" t="s">
        <v>2</v>
      </c>
      <c r="G135" s="18" t="s">
        <v>3</v>
      </c>
      <c r="H135" s="18" t="s">
        <v>8</v>
      </c>
      <c r="I135" s="19" t="s">
        <v>4</v>
      </c>
      <c r="J135" s="19" t="s">
        <v>60</v>
      </c>
      <c r="K135" s="20" t="s">
        <v>5</v>
      </c>
      <c r="L135" s="21" t="s">
        <v>10</v>
      </c>
      <c r="M135" s="21" t="s">
        <v>12</v>
      </c>
      <c r="N135" s="21" t="s">
        <v>11</v>
      </c>
      <c r="O135" s="22" t="s">
        <v>6</v>
      </c>
    </row>
    <row r="136" spans="1:15" x14ac:dyDescent="0.2">
      <c r="A136" s="37" t="s">
        <v>84</v>
      </c>
      <c r="B136" s="24" t="s">
        <v>15</v>
      </c>
      <c r="C136" s="25" t="s">
        <v>47</v>
      </c>
      <c r="D136" s="25">
        <v>588</v>
      </c>
      <c r="E136" s="26">
        <v>588</v>
      </c>
      <c r="F136" s="13">
        <f>1/384</f>
        <v>2.6041666666666665E-3</v>
      </c>
      <c r="G136" s="27">
        <f>F136*E136</f>
        <v>1.53125</v>
      </c>
      <c r="H136" s="27">
        <f>G136*8*I136</f>
        <v>3.0625</v>
      </c>
      <c r="I136" s="28">
        <v>0.25</v>
      </c>
      <c r="J136" s="28"/>
      <c r="K136" s="27">
        <f>(G136/D136)*I136</f>
        <v>6.5104166666666663E-4</v>
      </c>
      <c r="L136" s="29">
        <v>6.5103999999999997E-4</v>
      </c>
      <c r="M136" s="29">
        <f>L136*D136*8</f>
        <v>3.0624921599999997</v>
      </c>
      <c r="N136" s="30">
        <f>L136-K136</f>
        <v>-1.6666666666567687E-9</v>
      </c>
      <c r="O136" s="36"/>
    </row>
    <row r="137" spans="1:15" x14ac:dyDescent="0.2">
      <c r="A137" s="23"/>
      <c r="B137" s="25"/>
      <c r="C137" s="25"/>
      <c r="D137" s="25"/>
      <c r="E137" s="32"/>
      <c r="F137" s="33"/>
      <c r="G137" s="34">
        <f>SUM(G136:G136)</f>
        <v>1.53125</v>
      </c>
      <c r="H137" s="34">
        <f>SUM(H136:H136)</f>
        <v>3.0625</v>
      </c>
      <c r="I137" s="25"/>
      <c r="J137" s="25"/>
      <c r="K137" s="34">
        <f>SUM(K136:K136)</f>
        <v>6.5104166666666663E-4</v>
      </c>
      <c r="L137" s="34">
        <f>SUM(L136:L136)</f>
        <v>6.5103999999999997E-4</v>
      </c>
      <c r="M137" s="34">
        <f>SUM(M136:M136)</f>
        <v>3.0624921599999997</v>
      </c>
      <c r="N137" s="30">
        <f>SUM(N136:N136)</f>
        <v>-1.6666666666567687E-9</v>
      </c>
      <c r="O137" s="35"/>
    </row>
    <row r="138" spans="1:15" s="15" customFormat="1" x14ac:dyDescent="0.2">
      <c r="A138" s="47" t="s">
        <v>89</v>
      </c>
      <c r="B138" s="48"/>
      <c r="C138" s="48"/>
      <c r="D138" s="48"/>
      <c r="E138" s="48"/>
      <c r="F138" s="48"/>
      <c r="G138" s="48"/>
      <c r="H138" s="48"/>
      <c r="I138" s="48"/>
      <c r="J138" s="48"/>
      <c r="K138" s="48"/>
      <c r="L138" s="48"/>
      <c r="M138" s="48"/>
      <c r="N138" s="48"/>
      <c r="O138" s="48"/>
    </row>
    <row r="139" spans="1:15" x14ac:dyDescent="0.2">
      <c r="A139" s="16" t="s">
        <v>0</v>
      </c>
      <c r="B139" s="16" t="s">
        <v>7</v>
      </c>
      <c r="C139" s="16" t="s">
        <v>0</v>
      </c>
      <c r="D139" s="16" t="s">
        <v>1</v>
      </c>
      <c r="E139" s="17" t="s">
        <v>9</v>
      </c>
      <c r="F139" s="17" t="s">
        <v>2</v>
      </c>
      <c r="G139" s="18" t="s">
        <v>3</v>
      </c>
      <c r="H139" s="18" t="s">
        <v>8</v>
      </c>
      <c r="I139" s="19" t="s">
        <v>4</v>
      </c>
      <c r="J139" s="19" t="s">
        <v>60</v>
      </c>
      <c r="K139" s="20" t="s">
        <v>5</v>
      </c>
      <c r="L139" s="21" t="s">
        <v>10</v>
      </c>
      <c r="M139" s="21" t="s">
        <v>12</v>
      </c>
      <c r="N139" s="21" t="s">
        <v>11</v>
      </c>
      <c r="O139" s="22" t="s">
        <v>6</v>
      </c>
    </row>
    <row r="140" spans="1:15" x14ac:dyDescent="0.2">
      <c r="A140" s="37" t="s">
        <v>85</v>
      </c>
      <c r="B140" s="24" t="s">
        <v>15</v>
      </c>
      <c r="C140" s="25" t="s">
        <v>48</v>
      </c>
      <c r="D140" s="25">
        <v>640</v>
      </c>
      <c r="E140" s="26">
        <v>160</v>
      </c>
      <c r="F140" s="13">
        <f>1/384</f>
        <v>2.6041666666666665E-3</v>
      </c>
      <c r="G140" s="27">
        <f>F140*E140</f>
        <v>0.41666666666666663</v>
      </c>
      <c r="H140" s="27">
        <f>G140*8*I140</f>
        <v>0.83333333333333326</v>
      </c>
      <c r="I140" s="28">
        <v>0.25</v>
      </c>
      <c r="J140" s="28"/>
      <c r="K140" s="27">
        <f>(G140/D140)*I140</f>
        <v>1.6276041666666666E-4</v>
      </c>
      <c r="L140" s="29">
        <v>1.5244E-4</v>
      </c>
      <c r="M140" s="29">
        <f>L140*D140*8</f>
        <v>0.78049279999999999</v>
      </c>
      <c r="N140" s="30">
        <f>L140-K140</f>
        <v>-1.032041666666666E-5</v>
      </c>
      <c r="O140" s="36" t="s">
        <v>77</v>
      </c>
    </row>
    <row r="141" spans="1:15" x14ac:dyDescent="0.2">
      <c r="A141" s="23"/>
      <c r="B141" s="25"/>
      <c r="C141" s="25"/>
      <c r="D141" s="25"/>
      <c r="E141" s="32"/>
      <c r="F141" s="33"/>
      <c r="G141" s="34">
        <f>SUM(G140:G140)</f>
        <v>0.41666666666666663</v>
      </c>
      <c r="H141" s="34">
        <f>SUM(H140:H140)</f>
        <v>0.83333333333333326</v>
      </c>
      <c r="I141" s="25"/>
      <c r="J141" s="25"/>
      <c r="K141" s="34">
        <f>SUM(K140:K140)</f>
        <v>1.6276041666666666E-4</v>
      </c>
      <c r="L141" s="34">
        <f>SUM(L140:L140)</f>
        <v>1.5244E-4</v>
      </c>
      <c r="M141" s="34">
        <f>SUM(M140:M140)</f>
        <v>0.78049279999999999</v>
      </c>
      <c r="N141" s="30">
        <f>SUM(N140:N140)</f>
        <v>-1.032041666666666E-5</v>
      </c>
      <c r="O141" s="35"/>
    </row>
    <row r="142" spans="1:15" s="15" customFormat="1" x14ac:dyDescent="0.2">
      <c r="A142" s="47" t="s">
        <v>88</v>
      </c>
      <c r="B142" s="48"/>
      <c r="C142" s="48"/>
      <c r="D142" s="48"/>
      <c r="E142" s="48"/>
      <c r="F142" s="48"/>
      <c r="G142" s="48"/>
      <c r="H142" s="48"/>
      <c r="I142" s="48"/>
      <c r="J142" s="48"/>
      <c r="K142" s="48"/>
      <c r="L142" s="48"/>
      <c r="M142" s="48"/>
      <c r="N142" s="48"/>
      <c r="O142" s="48"/>
    </row>
    <row r="143" spans="1:15" x14ac:dyDescent="0.2">
      <c r="A143" s="16" t="s">
        <v>0</v>
      </c>
      <c r="B143" s="16" t="s">
        <v>7</v>
      </c>
      <c r="C143" s="16" t="s">
        <v>0</v>
      </c>
      <c r="D143" s="16" t="s">
        <v>1</v>
      </c>
      <c r="E143" s="17" t="s">
        <v>9</v>
      </c>
      <c r="F143" s="17" t="s">
        <v>2</v>
      </c>
      <c r="G143" s="18" t="s">
        <v>3</v>
      </c>
      <c r="H143" s="18" t="s">
        <v>8</v>
      </c>
      <c r="I143" s="19" t="s">
        <v>4</v>
      </c>
      <c r="J143" s="19" t="s">
        <v>60</v>
      </c>
      <c r="K143" s="20" t="s">
        <v>5</v>
      </c>
      <c r="L143" s="21" t="s">
        <v>10</v>
      </c>
      <c r="M143" s="21" t="s">
        <v>12</v>
      </c>
      <c r="N143" s="21" t="s">
        <v>11</v>
      </c>
      <c r="O143" s="22" t="s">
        <v>6</v>
      </c>
    </row>
    <row r="144" spans="1:15" ht="30" x14ac:dyDescent="0.2">
      <c r="A144" s="37" t="s">
        <v>83</v>
      </c>
      <c r="B144" s="24" t="s">
        <v>15</v>
      </c>
      <c r="C144" s="25" t="s">
        <v>49</v>
      </c>
      <c r="D144" s="25">
        <v>640</v>
      </c>
      <c r="E144" s="26">
        <v>327.5</v>
      </c>
      <c r="F144" s="13">
        <f>1/384</f>
        <v>2.6041666666666665E-3</v>
      </c>
      <c r="G144" s="27">
        <f>F144*E144</f>
        <v>0.85286458333333326</v>
      </c>
      <c r="H144" s="27">
        <f>G144*8*I144</f>
        <v>1.7057291666666665</v>
      </c>
      <c r="I144" s="28">
        <v>0.25</v>
      </c>
      <c r="J144" s="28"/>
      <c r="K144" s="27">
        <f>(G144/D144)*I144</f>
        <v>3.3315022786458332E-4</v>
      </c>
      <c r="L144" s="29">
        <v>3.1967999999999998E-4</v>
      </c>
      <c r="M144" s="29">
        <f>L144*D144*8</f>
        <v>1.6367615999999998</v>
      </c>
      <c r="N144" s="30">
        <f>L144-K144</f>
        <v>-1.347022786458334E-5</v>
      </c>
      <c r="O144" s="36" t="s">
        <v>77</v>
      </c>
    </row>
    <row r="145" spans="1:15" x14ac:dyDescent="0.2">
      <c r="A145" s="23"/>
      <c r="B145" s="25"/>
      <c r="C145" s="25"/>
      <c r="D145" s="25"/>
      <c r="E145" s="32"/>
      <c r="F145" s="33"/>
      <c r="G145" s="34">
        <f>SUM(G144:G144)</f>
        <v>0.85286458333333326</v>
      </c>
      <c r="H145" s="34">
        <f>SUM(H144:H144)</f>
        <v>1.7057291666666665</v>
      </c>
      <c r="I145" s="25"/>
      <c r="J145" s="25"/>
      <c r="K145" s="34">
        <f>SUM(K144:K144)</f>
        <v>3.3315022786458332E-4</v>
      </c>
      <c r="L145" s="34">
        <f>SUM(L144:L144)</f>
        <v>3.1967999999999998E-4</v>
      </c>
      <c r="M145" s="34">
        <f>SUM(M144:M144)</f>
        <v>1.6367615999999998</v>
      </c>
      <c r="N145" s="30">
        <f>SUM(N144:N144)</f>
        <v>-1.347022786458334E-5</v>
      </c>
      <c r="O145" s="35"/>
    </row>
    <row r="146" spans="1:15" s="15" customFormat="1" x14ac:dyDescent="0.2">
      <c r="A146" s="47" t="s">
        <v>87</v>
      </c>
      <c r="B146" s="48"/>
      <c r="C146" s="48"/>
      <c r="D146" s="48"/>
      <c r="E146" s="48"/>
      <c r="F146" s="48"/>
      <c r="G146" s="48"/>
      <c r="H146" s="48"/>
      <c r="I146" s="48"/>
      <c r="J146" s="48"/>
      <c r="K146" s="48"/>
      <c r="L146" s="48"/>
      <c r="M146" s="48"/>
      <c r="N146" s="48"/>
      <c r="O146" s="48"/>
    </row>
    <row r="147" spans="1:15" x14ac:dyDescent="0.2">
      <c r="A147" s="16" t="s">
        <v>0</v>
      </c>
      <c r="B147" s="16" t="s">
        <v>7</v>
      </c>
      <c r="C147" s="16" t="s">
        <v>0</v>
      </c>
      <c r="D147" s="16" t="s">
        <v>1</v>
      </c>
      <c r="E147" s="17" t="s">
        <v>9</v>
      </c>
      <c r="F147" s="17" t="s">
        <v>2</v>
      </c>
      <c r="G147" s="18" t="s">
        <v>3</v>
      </c>
      <c r="H147" s="18" t="s">
        <v>8</v>
      </c>
      <c r="I147" s="19" t="s">
        <v>4</v>
      </c>
      <c r="J147" s="19" t="s">
        <v>60</v>
      </c>
      <c r="K147" s="20" t="s">
        <v>5</v>
      </c>
      <c r="L147" s="21" t="s">
        <v>10</v>
      </c>
      <c r="M147" s="21" t="s">
        <v>12</v>
      </c>
      <c r="N147" s="21" t="s">
        <v>11</v>
      </c>
      <c r="O147" s="22" t="s">
        <v>6</v>
      </c>
    </row>
    <row r="148" spans="1:15" ht="30" x14ac:dyDescent="0.2">
      <c r="A148" s="37" t="s">
        <v>86</v>
      </c>
      <c r="B148" s="24" t="s">
        <v>15</v>
      </c>
      <c r="C148" s="25" t="s">
        <v>50</v>
      </c>
      <c r="D148" s="26">
        <v>1937.21</v>
      </c>
      <c r="E148" s="26">
        <v>316.25</v>
      </c>
      <c r="F148" s="13">
        <f>1/384</f>
        <v>2.6041666666666665E-3</v>
      </c>
      <c r="G148" s="27">
        <f>F148*E148</f>
        <v>0.82356770833333326</v>
      </c>
      <c r="H148" s="27">
        <f>G148*8*I148</f>
        <v>1.6471354166666665</v>
      </c>
      <c r="I148" s="28">
        <v>0.25</v>
      </c>
      <c r="J148" s="28"/>
      <c r="K148" s="27">
        <f>(G148/D148)*I148</f>
        <v>1.0628270919690344E-4</v>
      </c>
      <c r="L148" s="29">
        <v>1.1517E-4</v>
      </c>
      <c r="M148" s="29">
        <f>L148*D148*8</f>
        <v>1.7848678056</v>
      </c>
      <c r="N148" s="30">
        <f>L148-K148</f>
        <v>8.8872908030965535E-6</v>
      </c>
      <c r="O148" s="36" t="s">
        <v>77</v>
      </c>
    </row>
    <row r="149" spans="1:15" x14ac:dyDescent="0.2">
      <c r="A149" s="23"/>
      <c r="B149" s="25"/>
      <c r="C149" s="25"/>
      <c r="D149" s="25"/>
      <c r="E149" s="32"/>
      <c r="F149" s="33"/>
      <c r="G149" s="34">
        <f>SUM(G148:G148)</f>
        <v>0.82356770833333326</v>
      </c>
      <c r="H149" s="34">
        <f>SUM(H148:H148)</f>
        <v>1.6471354166666665</v>
      </c>
      <c r="I149" s="25"/>
      <c r="J149" s="25"/>
      <c r="K149" s="34">
        <f>SUM(K148:K148)</f>
        <v>1.0628270919690344E-4</v>
      </c>
      <c r="L149" s="34">
        <f>SUM(L148:L148)</f>
        <v>1.1517E-4</v>
      </c>
      <c r="M149" s="34">
        <f>SUM(M148:M148)</f>
        <v>1.7848678056</v>
      </c>
      <c r="N149" s="30">
        <f>SUM(N148:N148)</f>
        <v>8.8872908030965535E-6</v>
      </c>
      <c r="O149" s="35"/>
    </row>
  </sheetData>
  <mergeCells count="36">
    <mergeCell ref="A138:O138"/>
    <mergeCell ref="A142:O142"/>
    <mergeCell ref="A146:O146"/>
    <mergeCell ref="A102:O102"/>
    <mergeCell ref="A106:O106"/>
    <mergeCell ref="A126:O126"/>
    <mergeCell ref="A130:O130"/>
    <mergeCell ref="A134:O134"/>
    <mergeCell ref="A110:O110"/>
    <mergeCell ref="A114:O114"/>
    <mergeCell ref="A118:O118"/>
    <mergeCell ref="A122:O122"/>
    <mergeCell ref="A82:O82"/>
    <mergeCell ref="A86:O86"/>
    <mergeCell ref="A90:O90"/>
    <mergeCell ref="A94:O94"/>
    <mergeCell ref="A98:O98"/>
    <mergeCell ref="A78:O78"/>
    <mergeCell ref="A58:O58"/>
    <mergeCell ref="A42:O42"/>
    <mergeCell ref="A38:O38"/>
    <mergeCell ref="A46:O46"/>
    <mergeCell ref="A50:O50"/>
    <mergeCell ref="A54:O54"/>
    <mergeCell ref="A22:O22"/>
    <mergeCell ref="A34:O34"/>
    <mergeCell ref="A62:O62"/>
    <mergeCell ref="A66:O66"/>
    <mergeCell ref="A72:O72"/>
    <mergeCell ref="A30:O30"/>
    <mergeCell ref="A26:O26"/>
    <mergeCell ref="A1:E5"/>
    <mergeCell ref="A6:O6"/>
    <mergeCell ref="A10:O10"/>
    <mergeCell ref="A14:O14"/>
    <mergeCell ref="A18:O18"/>
  </mergeCells>
  <phoneticPr fontId="12"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3CA74D234EF5446AF84FF9458DCC377" ma:contentTypeVersion="12" ma:contentTypeDescription="Create a new document." ma:contentTypeScope="" ma:versionID="2a91a5305bafac972ed1edb65044df8c">
  <xsd:schema xmlns:xsd="http://www.w3.org/2001/XMLSchema" xmlns:xs="http://www.w3.org/2001/XMLSchema" xmlns:p="http://schemas.microsoft.com/office/2006/metadata/properties" xmlns:ns2="1e65c629-d2cb-4101-98bb-ef12ac8fe931" xmlns:ns3="0b4d0e05-cb3b-49b3-89b9-ecec5e3eb887" targetNamespace="http://schemas.microsoft.com/office/2006/metadata/properties" ma:root="true" ma:fieldsID="d3c966d3157912857a13845528663d81" ns2:_="" ns3:_="">
    <xsd:import namespace="1e65c629-d2cb-4101-98bb-ef12ac8fe931"/>
    <xsd:import namespace="0b4d0e05-cb3b-49b3-89b9-ecec5e3eb88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5c629-d2cb-4101-98bb-ef12ac8fe9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b4d0e05-cb3b-49b3-89b9-ecec5e3eb887"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B00F39-7056-4710-8115-560072242D0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15CD401-45D6-4847-9F57-3A2F191DC8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5c629-d2cb-4101-98bb-ef12ac8fe931"/>
    <ds:schemaRef ds:uri="0b4d0e05-cb3b-49b3-89b9-ecec5e3eb8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EA4B219-9764-4FBD-84D7-7C70D2C314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Ownership Breakdown</vt:lpstr>
      <vt:lpstr>Revenue Reconciliation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Mastin</dc:creator>
  <cp:lastModifiedBy>Eric Winegar</cp:lastModifiedBy>
  <cp:lastPrinted>2017-03-07T15:46:27Z</cp:lastPrinted>
  <dcterms:created xsi:type="dcterms:W3CDTF">1997-03-05T02:46:51Z</dcterms:created>
  <dcterms:modified xsi:type="dcterms:W3CDTF">2026-02-24T22:55:34Z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0x01010053CA74D234EF5446AF84FF9458DCC377</vt:lpwstr>
  </property>
</Properties>
</file>